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95" windowHeight="5985" firstSheet="9" activeTab="12"/>
  </bookViews>
  <sheets>
    <sheet name="DOCHODY I WYDATKI " sheetId="1" r:id="rId1"/>
    <sheet name="DOCHODY" sheetId="2" r:id="rId2"/>
    <sheet name="DOCHODY WG ŹRÓDEŁ" sheetId="3" r:id="rId3"/>
    <sheet name="WYDATKI" sheetId="4" r:id="rId4"/>
    <sheet name="WYDATKI zad. wł." sheetId="5" r:id="rId5"/>
    <sheet name="WYDATKI zad. zl." sheetId="6" r:id="rId6"/>
    <sheet name="WYDATKI poroz. z adm." sheetId="7" r:id="rId7"/>
    <sheet name="DOTACJE na  poroz." sheetId="8" r:id="rId8"/>
    <sheet name="zakł bud, gospo pomoc, doch wła" sheetId="9" r:id="rId9"/>
    <sheet name="DOTACJE dla szkół niepub" sheetId="10" r:id="rId10"/>
    <sheet name="PFGZGiK" sheetId="11" r:id="rId11"/>
    <sheet name="PFOŚiGW" sheetId="12" r:id="rId12"/>
    <sheet name="przychody i rochody" sheetId="13" r:id="rId13"/>
  </sheets>
  <definedNames>
    <definedName name="_xlnm.Print_Area" localSheetId="1">'DOCHODY'!$A$1:$M$109</definedName>
    <definedName name="_xlnm.Print_Area" localSheetId="8">'zakł bud, gospo pomoc, doch wła'!$A$1:$I$38</definedName>
    <definedName name="_xlnm.Print_Titles" localSheetId="1">'DOCHODY'!$11:$14</definedName>
    <definedName name="_xlnm.Print_Titles" localSheetId="3">'WYDATKI'!$9:$13</definedName>
    <definedName name="_xlnm.Print_Titles" localSheetId="4">'WYDATKI zad. wł.'!$9:$13</definedName>
    <definedName name="_xlnm.Print_Titles" localSheetId="5">'WYDATKI zad. zl.'!$10:$15</definedName>
  </definedNames>
  <calcPr fullCalcOnLoad="1"/>
</workbook>
</file>

<file path=xl/sharedStrings.xml><?xml version="1.0" encoding="utf-8"?>
<sst xmlns="http://schemas.openxmlformats.org/spreadsheetml/2006/main" count="682" uniqueCount="320">
  <si>
    <t>DZIAŁ</t>
  </si>
  <si>
    <t>WYSZCZEGÓLNIENIE</t>
  </si>
  <si>
    <t>DOCHODY</t>
  </si>
  <si>
    <t>WYDATKI</t>
  </si>
  <si>
    <t>Ogółem</t>
  </si>
  <si>
    <t>ROLNICTWO I ŁOWIECTWO</t>
  </si>
  <si>
    <t>LEŚNICTWO</t>
  </si>
  <si>
    <t>TRANSPORT I ŁĄCZNOŚĆ</t>
  </si>
  <si>
    <t>GOSPODARKA MIESZKANIOWA</t>
  </si>
  <si>
    <t>DZIAŁALNOŚĆ USŁUGOWA</t>
  </si>
  <si>
    <t>BEZPIECZEŃSTWO PUBLICZNE I OCHRONA PRZECIWPOŻAROWA</t>
  </si>
  <si>
    <t>OBSŁUGA DŁUGU PUBLICZNEGO</t>
  </si>
  <si>
    <t>RÓŻNE ROZLICZENIA</t>
  </si>
  <si>
    <t>OCHRONA ZDROWIA</t>
  </si>
  <si>
    <t>EDUKACYJNA OPIEKA WYCHOWAWCZA</t>
  </si>
  <si>
    <t>OGÓŁEM</t>
  </si>
  <si>
    <t>w tym zadania zlecone</t>
  </si>
  <si>
    <t>POMOC  SPOŁECZNA</t>
  </si>
  <si>
    <t>POZOSTAŁE ZADANIA W ZAKRESIE POLITYKI SPOŁECZNEJ</t>
  </si>
  <si>
    <t>TURYSTYKA</t>
  </si>
  <si>
    <t>Załącznik Nr 1</t>
  </si>
  <si>
    <t>Rady Powiatu Pyrzyckiego</t>
  </si>
  <si>
    <t>deficyt</t>
  </si>
  <si>
    <t xml:space="preserve">                           (OGÓŁEM) W 2008 r.</t>
  </si>
  <si>
    <t xml:space="preserve">                          DOCHODY I WYDATKI BUDŻETU POWIATU </t>
  </si>
  <si>
    <t>010</t>
  </si>
  <si>
    <t>020</t>
  </si>
  <si>
    <t>DOCHODY OD OSÓB PRAWNYCH, OD OSÓB FIZYCZNYCH I OD INNYCH JEDNOSTEK NIEPOSIADAJĄCYCH OSOBOWOŚCI PRAWNEJ ORAZ WYDATKI ZWIĄZANE Z ICH POBOREM</t>
  </si>
  <si>
    <t>KULTURA I OCHRONA DZIEDZICTWA NARODOWEGO</t>
  </si>
  <si>
    <t>KULTURA FIZYCZNA I SPORT</t>
  </si>
  <si>
    <t xml:space="preserve">ADMINISTRACJA PUBLICZNA </t>
  </si>
  <si>
    <t>Załącznik Nr 2</t>
  </si>
  <si>
    <t>PROGNOZOWANE DOCHODY BUDŻETU  POWIATU PYRZYCKIEGO</t>
  </si>
  <si>
    <t xml:space="preserve">NA 2008 r. </t>
  </si>
  <si>
    <t>(OGÓŁEM)</t>
  </si>
  <si>
    <t>według działów, rozdziałów klasyfikacji i ważniejszych źródeł</t>
  </si>
  <si>
    <t>w złotych</t>
  </si>
  <si>
    <t>Dział</t>
  </si>
  <si>
    <t>Rozdział</t>
  </si>
  <si>
    <t>§</t>
  </si>
  <si>
    <t>NAZWA PODZIAŁKI KLASYFIKACJI BUDŻETOWEJ</t>
  </si>
  <si>
    <t>z tego:</t>
  </si>
  <si>
    <t>Dochody bieżące</t>
  </si>
  <si>
    <t>w tym:</t>
  </si>
  <si>
    <t>Dochody majątkowe</t>
  </si>
  <si>
    <t>Dochody związane z realizacją zadań własnych</t>
  </si>
  <si>
    <t>Dochody związane z ralizacją zadań z zakresu administracji rządowej oraz innych zadań zleconych ustawami</t>
  </si>
  <si>
    <t>Dochody związane z realizacją zadań z zakresu administracji rządowej na podstawie porozumień z organami tej administracji</t>
  </si>
  <si>
    <t>O10</t>
  </si>
  <si>
    <t>O1005</t>
  </si>
  <si>
    <t>Prace geodezyjno - urządzeniowe na potrzeby rolnictwa</t>
  </si>
  <si>
    <t>Dotacje celowe otrzymane z budżetu państwa na zadania bieżące z zakresu administracji rządowej oraz inne zadania zlecone ustawami realizowane przez powiat</t>
  </si>
  <si>
    <t>Leśnictwo</t>
  </si>
  <si>
    <t>02002</t>
  </si>
  <si>
    <t>Nadzór nad gospodarką leśną</t>
  </si>
  <si>
    <t>2460</t>
  </si>
  <si>
    <t>Środki otrzymane od pozostałych jednostek zaliczanych do sektora finansów publicznych na realizację zadań bieżących jednostek zaliczanych do sektora finansów publicznych</t>
  </si>
  <si>
    <t>Gospodarka gruntami i nieruchomościami</t>
  </si>
  <si>
    <t>O870</t>
  </si>
  <si>
    <t xml:space="preserve">Wpływy ze sprzedaży składników majątkowych </t>
  </si>
  <si>
    <t>Prace geodezyjne i kartograficzne (nieinwestycyjne)</t>
  </si>
  <si>
    <t>Opracowania geodezyjne i kartograficzne</t>
  </si>
  <si>
    <t>Nadzór budowlany</t>
  </si>
  <si>
    <t>ADMINISTRACJA PUBLICZNA</t>
  </si>
  <si>
    <t>Urzędy wojewódzkie</t>
  </si>
  <si>
    <t>Starostwa powiatowe</t>
  </si>
  <si>
    <t>O420</t>
  </si>
  <si>
    <t>Wpływy z opłaty komunikacyjnej</t>
  </si>
  <si>
    <t>0470</t>
  </si>
  <si>
    <t>Wpływy z opłat za zarząd, użytkowanie i użytkowanie wieczyste nieruchomości</t>
  </si>
  <si>
    <t>0690</t>
  </si>
  <si>
    <t>Wpływy z różnych opłat</t>
  </si>
  <si>
    <t>O750</t>
  </si>
  <si>
    <t xml:space="preserve">Dochody z najmu i dzierżawy składników majątkowych Skarbu Państwa, jednostek samorządu terytorialnego lub innych jednostek zaliczanych do sektora finansów publicznych oraz innych umów o podobnym charakterze </t>
  </si>
  <si>
    <t>O830</t>
  </si>
  <si>
    <t>Wpływy z usług</t>
  </si>
  <si>
    <t>0920</t>
  </si>
  <si>
    <t>Pozostałe odsetki</t>
  </si>
  <si>
    <t>Komisje poborowe</t>
  </si>
  <si>
    <t>Dotacje celowe otrzymane z budżetu państwa na zadania bieżące realizowane przez powiat na podstawie porozumień z organami administracji rządowej</t>
  </si>
  <si>
    <t>Komendy powiatowe Państwowej Straży Pożarnej</t>
  </si>
  <si>
    <t>O920</t>
  </si>
  <si>
    <t>Wpływy z innych opłat stanowiących dochody jednostek samorządu terytorialnego na podstawie ustaw</t>
  </si>
  <si>
    <t>O490</t>
  </si>
  <si>
    <t>Wpływy z innych lokalnych opłat pobieranych przez jednostki samorządu terytorialnego na podstawie odrębnych ustaw</t>
  </si>
  <si>
    <t>Udziały powiatu w podatkach stanowiących dochód budżetu państwa</t>
  </si>
  <si>
    <t>OO10</t>
  </si>
  <si>
    <t>Podatek dochodowy od osób fizycznych</t>
  </si>
  <si>
    <t>OO20</t>
  </si>
  <si>
    <t>Podatek dochodowy od osób prawnych</t>
  </si>
  <si>
    <r>
      <t xml:space="preserve">Część </t>
    </r>
    <r>
      <rPr>
        <b/>
        <sz val="10"/>
        <rFont val="Arial CE"/>
        <family val="2"/>
      </rPr>
      <t xml:space="preserve">oświatowa </t>
    </r>
    <r>
      <rPr>
        <sz val="10"/>
        <rFont val="Arial CE"/>
        <family val="2"/>
      </rPr>
      <t>subwencji ogólnej dla jednostek samorządu terytorialnego</t>
    </r>
  </si>
  <si>
    <t>Subwencje ogólne z budżetu państwa</t>
  </si>
  <si>
    <r>
      <t xml:space="preserve">Część </t>
    </r>
    <r>
      <rPr>
        <b/>
        <sz val="10"/>
        <rFont val="Arial CE"/>
        <family val="2"/>
      </rPr>
      <t>wyrównawcza</t>
    </r>
    <r>
      <rPr>
        <sz val="10"/>
        <rFont val="Arial CE"/>
        <family val="2"/>
      </rPr>
      <t xml:space="preserve"> subwencji ogólnej dla powiatów </t>
    </r>
  </si>
  <si>
    <r>
      <t xml:space="preserve">Część </t>
    </r>
    <r>
      <rPr>
        <b/>
        <sz val="10"/>
        <rFont val="Arial CE"/>
        <family val="0"/>
      </rPr>
      <t>równoważąca</t>
    </r>
    <r>
      <rPr>
        <sz val="10"/>
        <rFont val="Arial CE"/>
        <family val="2"/>
      </rPr>
      <t xml:space="preserve"> subwencji ogólnej dla powiatów </t>
    </r>
  </si>
  <si>
    <t>OŚWIATA I WYCHOWANIE</t>
  </si>
  <si>
    <t>Szkoły podstawowe specjalne</t>
  </si>
  <si>
    <t>Gimnazja specjalne</t>
  </si>
  <si>
    <t>Licea ogólnokształcące</t>
  </si>
  <si>
    <t>Dochody z najmu i dzierżawy składników majątkowych Skarbu Państwa, jednostek samorządu terytorialnego lub innych jednostek zaliczanych do sektora finansów publicznych oraz innych umów o podobnym charakterze</t>
  </si>
  <si>
    <t>Szkoły zawodowe</t>
  </si>
  <si>
    <t xml:space="preserve">Wpływy z usług </t>
  </si>
  <si>
    <t>O970</t>
  </si>
  <si>
    <t xml:space="preserve">Wpływy z różnych  dochodów </t>
  </si>
  <si>
    <t>Szkoły zawodowe specjalne</t>
  </si>
  <si>
    <t>Centra kształcenia ustawicznego i praktycznego oraz ośrodki dokształcania zawodowego</t>
  </si>
  <si>
    <t>Składki na ubezpieczenie zdrowotne oraz świadczenia dla osób nieobjętych obowiązkiem ubezpieczenia zdrowotnego</t>
  </si>
  <si>
    <t>Dotacje celowe otrzymane z budżetu państwa na zadania bieżące z zakresu administracji rządowej oraz inne zadania zlecone ustawami realizowane przez powiat, w tym:</t>
  </si>
  <si>
    <t>bezrobotni bez prawa do zasiłku</t>
  </si>
  <si>
    <t>dzieci z placówek opiekuńczo-wychowawczych</t>
  </si>
  <si>
    <t>POMOC SPOŁECZNA</t>
  </si>
  <si>
    <t>Placówki opiekuńczo – wychowawcze</t>
  </si>
  <si>
    <t>0970</t>
  </si>
  <si>
    <t>Wpływy z różnych dochodów</t>
  </si>
  <si>
    <t>Dotacje celowe otrzymane z powiatu na zadania bieżące realizowane na podstawie porozumień (umów) między jednostkami samorządu terytorialnego</t>
  </si>
  <si>
    <t>Domy pomocy społecznej</t>
  </si>
  <si>
    <t>Dotacje celowe otrzymane z budżetu państwa na realizację bieżących zadań własnych powiatu</t>
  </si>
  <si>
    <t>Jednostki specjalistycznego poradnictwa, mieszkania chronione i ośrodki interwencji kryzysowej</t>
  </si>
  <si>
    <t>Zespoły do spraw orzekania o niepełnosprawności</t>
  </si>
  <si>
    <t>Państwowy Fundusz Rehabilitacji Osób Niepełnosprawnych</t>
  </si>
  <si>
    <t>Powiatowe Urzędy Pracy</t>
  </si>
  <si>
    <t>2690</t>
  </si>
  <si>
    <t>Środki z Funduszu Pracy otrzymane przez powiat z przeznaczeniem na finsnowanie kosztów wynagrodzenia i składek na ubezpieczenia społeczne pracowników powiatowego urzędu pracy</t>
  </si>
  <si>
    <t>Specjalne ośrodki szkolno – wychowawcze</t>
  </si>
  <si>
    <t>Internaty i bursy szkolne</t>
  </si>
  <si>
    <r>
      <t>Wpływy z usług</t>
    </r>
    <r>
      <rPr>
        <b/>
        <sz val="10"/>
        <rFont val="Arial CE"/>
        <family val="0"/>
      </rPr>
      <t xml:space="preserve"> </t>
    </r>
  </si>
  <si>
    <t>Załącznik Nr 3</t>
  </si>
  <si>
    <t>PROGNOZOWANE DOCHODY BUDŻETU POWIATU PYRZYCKIEGO W 2008 r.</t>
  </si>
  <si>
    <t>według głównych źródeł</t>
  </si>
  <si>
    <t>L.P.</t>
  </si>
  <si>
    <t>ŹRÓDŁA DOCHODÓW</t>
  </si>
  <si>
    <t>KWOTA  W  ZŁ</t>
  </si>
  <si>
    <t>UDZIAŁ W %</t>
  </si>
  <si>
    <t>I</t>
  </si>
  <si>
    <t>DOTACJE CELOWE Z BUDŻETU PAŃSTWA</t>
  </si>
  <si>
    <r>
      <t>Dotacje celowe otrzymane z budżetu państwa na zadania z zakresu administracji rządowej oraz inne zadania zlecone ustawami realizowane przez powiat</t>
    </r>
    <r>
      <rPr>
        <b/>
        <sz val="10"/>
        <rFont val="Arial CE"/>
        <family val="0"/>
      </rPr>
      <t xml:space="preserve"> </t>
    </r>
    <r>
      <rPr>
        <b/>
        <sz val="10"/>
        <color indexed="9"/>
        <rFont val="Arial CE"/>
        <family val="0"/>
      </rPr>
      <t>§ 2110, § 6410</t>
    </r>
  </si>
  <si>
    <r>
      <t xml:space="preserve">Dotacje celowe otrzymane z budżetu państwa na realizację bieżących zadań własnych powiatu </t>
    </r>
    <r>
      <rPr>
        <b/>
        <sz val="10"/>
        <color indexed="9"/>
        <rFont val="Arial CE"/>
        <family val="0"/>
      </rPr>
      <t>§ 2130</t>
    </r>
  </si>
  <si>
    <r>
      <t xml:space="preserve">Dotacje celowe otrzymane z budżetu państwa na zadania bieżące realizowane przez powiat na podstawie porozumień z organami administracji rządowej </t>
    </r>
    <r>
      <rPr>
        <b/>
        <sz val="10"/>
        <color indexed="9"/>
        <rFont val="Arial CE"/>
        <family val="0"/>
      </rPr>
      <t>§ 2120</t>
    </r>
  </si>
  <si>
    <r>
      <t xml:space="preserve">Dotacje celowe otrzymane z budżetu państwa na realizację inwestycji i zakupów inwestycyjnych własnych powiatu </t>
    </r>
    <r>
      <rPr>
        <b/>
        <sz val="10"/>
        <color indexed="9"/>
        <rFont val="Arial CE"/>
        <family val="0"/>
      </rPr>
      <t>§ 6430</t>
    </r>
  </si>
  <si>
    <t>II</t>
  </si>
  <si>
    <t xml:space="preserve">SUBWENCJA OGÓLNA </t>
  </si>
  <si>
    <t>Część oświatowa subwencji ogólnej</t>
  </si>
  <si>
    <t>Część wyrównawcza subwencji ogólnej</t>
  </si>
  <si>
    <t>Część równoważąca subwencji ogólnej</t>
  </si>
  <si>
    <t>III</t>
  </si>
  <si>
    <t>ŚRODKI POZYSKANE Z INNYCH ŹRÓDEŁ</t>
  </si>
  <si>
    <r>
      <t xml:space="preserve">Środki otrzymane od pozostałych jednostek zaliczanych do sektora finansów publicznych na realizację zadań bieżących jednostek zaliczanych do sektora finansów publicznych </t>
    </r>
    <r>
      <rPr>
        <b/>
        <sz val="10"/>
        <color indexed="9"/>
        <rFont val="Arial CE"/>
        <family val="0"/>
      </rPr>
      <t>§ 2460</t>
    </r>
  </si>
  <si>
    <t>Środki z Funduszu Pracy otrzymane przez powiat z przeznaczeniem na finansowanie kosztów wynagrodzenia i składek na ubezpieczenie społeczne pracowników powiatowego urzędu pracy</t>
  </si>
  <si>
    <r>
      <t xml:space="preserve">Dotacje celowe otrzymane od samorządu województwa na zadania bieżące realizowane na podstawie porozumień (umów) między jednostkami samorządu terytorialnego </t>
    </r>
    <r>
      <rPr>
        <b/>
        <sz val="10"/>
        <color indexed="9"/>
        <rFont val="Arial CE"/>
        <family val="0"/>
      </rPr>
      <t>§ 2330</t>
    </r>
  </si>
  <si>
    <r>
      <t xml:space="preserve">Dotacje celowe otrzymane z powiatu na zadania bieżące realizowane na podstawie porozumień (umów) między jednostkami samorządu terytorialnego </t>
    </r>
    <r>
      <rPr>
        <b/>
        <sz val="10"/>
        <color indexed="9"/>
        <rFont val="Arial CE"/>
        <family val="0"/>
      </rPr>
      <t>§ 2320</t>
    </r>
  </si>
  <si>
    <t>IV</t>
  </si>
  <si>
    <t>DOCHODY WŁASNE</t>
  </si>
  <si>
    <r>
      <t xml:space="preserve">Udziały powiatów w podatkach stanowiących dochód budżetu państwa – udział w podatku dochodowym od osób fizycznych </t>
    </r>
    <r>
      <rPr>
        <b/>
        <sz val="10"/>
        <color indexed="9"/>
        <rFont val="Arial CE"/>
        <family val="0"/>
      </rPr>
      <t>§ 0010</t>
    </r>
  </si>
  <si>
    <r>
      <t>Udziały powiatów w podatkach stanowiących dochód budżetu państwa – udział w podatku dochodowym od osób prawnych</t>
    </r>
    <r>
      <rPr>
        <sz val="10"/>
        <color indexed="9"/>
        <rFont val="Arial CE"/>
        <family val="0"/>
      </rPr>
      <t xml:space="preserve"> </t>
    </r>
    <r>
      <rPr>
        <b/>
        <sz val="10"/>
        <color indexed="9"/>
        <rFont val="Arial CE"/>
        <family val="0"/>
      </rPr>
      <t>§ 0020</t>
    </r>
  </si>
  <si>
    <r>
      <t xml:space="preserve">Wpływy z opłat komunikacyjnych </t>
    </r>
    <r>
      <rPr>
        <b/>
        <sz val="10"/>
        <color indexed="9"/>
        <rFont val="Arial CE"/>
        <family val="0"/>
      </rPr>
      <t>§ 0420</t>
    </r>
  </si>
  <si>
    <r>
      <t>Opłaty za pobyt w Domu Pomocy Społecznej</t>
    </r>
    <r>
      <rPr>
        <sz val="10"/>
        <color indexed="9"/>
        <rFont val="Arial CE"/>
        <family val="0"/>
      </rPr>
      <t xml:space="preserve"> </t>
    </r>
    <r>
      <rPr>
        <b/>
        <sz val="10"/>
        <color indexed="9"/>
        <rFont val="Arial CE"/>
        <family val="0"/>
      </rPr>
      <t>85202 § 0830</t>
    </r>
  </si>
  <si>
    <t>Pozostałe dochody</t>
  </si>
  <si>
    <t>Załącznik Nr 4</t>
  </si>
  <si>
    <t xml:space="preserve">WYDATKI BUDŻETU POWIATU PYRZYCKIEGO </t>
  </si>
  <si>
    <t>w 2008 r.</t>
  </si>
  <si>
    <t>ROZDZIAŁ</t>
  </si>
  <si>
    <t>PLAN WYDATKÓW OGÓŁEM</t>
  </si>
  <si>
    <t>z tego :</t>
  </si>
  <si>
    <t>WYDATKI BIEŻĄCE</t>
  </si>
  <si>
    <t>WYDATKI MAJĄTKOWE</t>
  </si>
  <si>
    <t>Wynagrodzenia       i pochodne</t>
  </si>
  <si>
    <t>Pozostałe                      wydatki bieżące</t>
  </si>
  <si>
    <t>Dotacje</t>
  </si>
  <si>
    <t>Wydatki na obsługę długu</t>
  </si>
  <si>
    <t>01005</t>
  </si>
  <si>
    <t>Prace geodezyjno – urządzeniowe na potrzeby rolnictwa</t>
  </si>
  <si>
    <t>O20</t>
  </si>
  <si>
    <t>02001</t>
  </si>
  <si>
    <t>Gospodarka leśna</t>
  </si>
  <si>
    <t xml:space="preserve">Drogi publiczne powiatowe </t>
  </si>
  <si>
    <t>Turystyka</t>
  </si>
  <si>
    <t>Pozostała działalność</t>
  </si>
  <si>
    <t>Ośrodki dokumentacji geodezyjnej i kartograficznej</t>
  </si>
  <si>
    <t xml:space="preserve">Nadzór budowlany </t>
  </si>
  <si>
    <t>Rady powiatów</t>
  </si>
  <si>
    <t xml:space="preserve">Komisje poborowe </t>
  </si>
  <si>
    <t>Promocja jednostek samorządu terytorialnego</t>
  </si>
  <si>
    <t xml:space="preserve">Komendy powiatowe Państwowej Straży Pożarnej </t>
  </si>
  <si>
    <t>- ewnetualne spłaty z tytułu udzielonego szpitalowi porączenia</t>
  </si>
  <si>
    <t xml:space="preserve">Rezerwy ogólne i celowe </t>
  </si>
  <si>
    <t>- rezerwy celowe, w tym:</t>
  </si>
  <si>
    <t>- rezerwa na zarządzanie kryzysowe (Dz.U. z 2007 Nr 89 poz.590 art.18)</t>
  </si>
  <si>
    <t>Licea profilowane</t>
  </si>
  <si>
    <t>Centra kształcenia ustawicznego i praktycznego oraz ośrodki doskonalenia zawodowego</t>
  </si>
  <si>
    <t>Inne formy kształcenia osobno nie wymienione</t>
  </si>
  <si>
    <t>Dokształcanie i doskonalenie nauczycieli</t>
  </si>
  <si>
    <t xml:space="preserve">Placówki opiekuńczo – wychowawcze </t>
  </si>
  <si>
    <t>Rodziny zastępcze</t>
  </si>
  <si>
    <t>Powiatowe centra pomocy rodzinie</t>
  </si>
  <si>
    <t>Rehabilitacja zawodowa i społeczna osób niepełnosprawnych</t>
  </si>
  <si>
    <t>Powiatowe urzędy pracy</t>
  </si>
  <si>
    <t>Specjalne ośrodki szkolno - wychowawcze</t>
  </si>
  <si>
    <t>Poradnie psychologiczno – pedagogiczne, w tym poradnie specjalistyczne</t>
  </si>
  <si>
    <t xml:space="preserve">Placówki wychowania pozaszkolnego </t>
  </si>
  <si>
    <t>Biblioteki</t>
  </si>
  <si>
    <t>RAZEM</t>
  </si>
  <si>
    <t>Załącznik Nr 5</t>
  </si>
  <si>
    <t>związane z realizacją zadań własnych w 2008 r.</t>
  </si>
  <si>
    <t>z  tego:</t>
  </si>
  <si>
    <t>Wydatki majątkowe</t>
  </si>
  <si>
    <t>w  tym:</t>
  </si>
  <si>
    <t>Wynagrodzenia i pochodne od wynagrodzeń</t>
  </si>
  <si>
    <t>Pozostałe wydatki bieżące</t>
  </si>
  <si>
    <t>O2001</t>
  </si>
  <si>
    <t>O2002</t>
  </si>
  <si>
    <t>- ewentualne spłaty z tytułu udzielonego szpitalowi porączenia</t>
  </si>
  <si>
    <t>- rezerwy ogólne</t>
  </si>
  <si>
    <t>Inne formy kształcenia osobno niewymienione</t>
  </si>
  <si>
    <t>Placówki opiekuńczo - wychowawcze</t>
  </si>
  <si>
    <t>Dom pomocy społecznej</t>
  </si>
  <si>
    <t>Specjalne ośrodki szkolno-wychowawcze</t>
  </si>
  <si>
    <t>Poradnie psychologiczno-pedagogiczne, w tym poradnie specjalistyczne</t>
  </si>
  <si>
    <t>Placówki wychowania pozaszkolnego</t>
  </si>
  <si>
    <t>Załącznik Nr 6</t>
  </si>
  <si>
    <t xml:space="preserve">związane z realizacją zadań z zakresu administracji rządowej </t>
  </si>
  <si>
    <t>oraz innych zadań zleconych ustawami w 2008 r.</t>
  </si>
  <si>
    <t>1</t>
  </si>
  <si>
    <t>2</t>
  </si>
  <si>
    <t>3</t>
  </si>
  <si>
    <t>4</t>
  </si>
  <si>
    <t>5</t>
  </si>
  <si>
    <t>6</t>
  </si>
  <si>
    <t>7</t>
  </si>
  <si>
    <t>8</t>
  </si>
  <si>
    <t xml:space="preserve">DZIAŁALNOŚĆ USŁUGOWA </t>
  </si>
  <si>
    <t>Składki na ubezpieczenia zdrowotne oraz świadczenia dla osób nieobjętych obowiązkiem ubezpieczenia zdrowotnego</t>
  </si>
  <si>
    <t>POZOSTALE ZADANIA W ZAKRESIE POLITYKI SPOŁECZNEJ</t>
  </si>
  <si>
    <t>Załącznik Nr 7</t>
  </si>
  <si>
    <t>WYDATKI BUDŻETU POWIATU PYRZYCKIEGO</t>
  </si>
  <si>
    <t>związane z realizacją zadań z zakresu administracji rządowej</t>
  </si>
  <si>
    <t>na podstawie porozumień z organami tej administracji w 2008 r.</t>
  </si>
  <si>
    <t>Załącznik Nr 8</t>
  </si>
  <si>
    <t xml:space="preserve">                                  DOTACJE Z  BUDŻETU POWIATU PYRZYCKIEGO W ROKU 2008</t>
  </si>
  <si>
    <t xml:space="preserve">                                  na finansowanie zadań własnych przekazanych na podstawie </t>
  </si>
  <si>
    <t xml:space="preserve">                                  porozumień do realizacji innym jednostkom samorządu terytorialnego</t>
  </si>
  <si>
    <t xml:space="preserve">Dział </t>
  </si>
  <si>
    <t xml:space="preserve">Rozdział </t>
  </si>
  <si>
    <t>wydatki bieżące</t>
  </si>
  <si>
    <t>Plan                     wydatków ogółem</t>
  </si>
  <si>
    <t>w tym :</t>
  </si>
  <si>
    <t>Wydatki z tutułu poręczeń i gwarancji</t>
  </si>
  <si>
    <t>Drogi publiczne powiatowe</t>
  </si>
  <si>
    <t>852</t>
  </si>
  <si>
    <t>85201</t>
  </si>
  <si>
    <t>Placówki opiekuńczo wychowawcze</t>
  </si>
  <si>
    <t xml:space="preserve">           Plany przychodów i kosztów zakładów budżetowych i gospodarstw pomocniczych jednostek budżetowych</t>
  </si>
  <si>
    <t xml:space="preserve">                               oraz przychodów i wydatków dochodów własnych jednostek budżetowych</t>
  </si>
  <si>
    <t xml:space="preserve">                                    POWIATU PYRZYCKIEGO w 2008 r. </t>
  </si>
  <si>
    <t xml:space="preserve">1. Plan przychodów i kosztów zakładów budżetowych: </t>
  </si>
  <si>
    <t>Powiatowy Ośrodek Dokumentacji Geodezyjno-Karograficzicznej w Pyrzycach</t>
  </si>
  <si>
    <t>Przychody</t>
  </si>
  <si>
    <t>Koszty</t>
  </si>
  <si>
    <t>Paragraf</t>
  </si>
  <si>
    <t>Nazwa podziałki klasyfikacji budżetowej</t>
  </si>
  <si>
    <t>Kwota</t>
  </si>
  <si>
    <t>Dotacja przedmiotowa z budżetu otrzymana przez zakład budżetowy</t>
  </si>
  <si>
    <t>2. Plan przychodów i kosztów gospodarstw pomocniczych:</t>
  </si>
  <si>
    <t>Rolnicze Centrum Kształcenia Ustawicznego w Pyrzycach</t>
  </si>
  <si>
    <t>Gospodarstwa pomocnicze</t>
  </si>
  <si>
    <t>3. Plan przychodów i wydatków dochodów własnych jednostek budżetowych</t>
  </si>
  <si>
    <t>Przychody:</t>
  </si>
  <si>
    <t>Koszty:</t>
  </si>
  <si>
    <t>O960</t>
  </si>
  <si>
    <t xml:space="preserve">Otrzymane spadki, zapisy i darowizny w postaci pieniężnej </t>
  </si>
  <si>
    <r>
      <t xml:space="preserve">Placówki opiekuńczo-wychowawcze </t>
    </r>
    <r>
      <rPr>
        <b/>
        <i/>
        <sz val="10"/>
        <rFont val="Arial CE"/>
        <family val="0"/>
      </rPr>
      <t>- Dom Dziecka w Czernicach</t>
    </r>
  </si>
  <si>
    <t>Załącznik Nr 10</t>
  </si>
  <si>
    <t xml:space="preserve">DOTACJE Z BUDŻETU POWIATU PYRZYCKIEGO W ROKU 2008 </t>
  </si>
  <si>
    <t>dla szkół niepublicznych o uprawnieniach szkół publicznych</t>
  </si>
  <si>
    <t>Kwota dotacji w zł</t>
  </si>
  <si>
    <t>OŚWIATA  I  WYCHOWANIE</t>
  </si>
  <si>
    <t>- Prywatne Liceum Ogólnokształcące przy C.E. „OMNIBUS” Pyrzyce</t>
  </si>
  <si>
    <t>Dotacja podmiotowa z budżetu dla niepublicznej jednostki systemu oświaty</t>
  </si>
  <si>
    <t>- Prywatne Liceum Ogólnokształcące Uzupełniające przy C.E. „OMNIBUS” , Pyrzyce</t>
  </si>
  <si>
    <t>- Prywatne Policealne Studium Zawodowe przy C.E. „OMNIBUS”, Pyrzyce</t>
  </si>
  <si>
    <t>- Ośrodek Edukacyjno – Rehabilitacyjno - Wychowawczy w Nowielinie</t>
  </si>
  <si>
    <t>Plan przychodów i wydatków Powiatowego Funduszu Gospodarki Zasobem</t>
  </si>
  <si>
    <t>Geodezyjnym i Kratograficznym Powiatu Pyrzyckiego w 2008 r.</t>
  </si>
  <si>
    <t>Wydatki</t>
  </si>
  <si>
    <t>Fundusz Gospodarki Zasobem Geodezyjnym i Kartograficznym</t>
  </si>
  <si>
    <t>-  wydatki bieżące</t>
  </si>
  <si>
    <t xml:space="preserve">    przelewy redystrybucyjne</t>
  </si>
  <si>
    <t>Przelewy redystrybucyjne</t>
  </si>
  <si>
    <t>-  wydatki majątkowe</t>
  </si>
  <si>
    <t>Stan funduszu na początku roku</t>
  </si>
  <si>
    <t>Stan funduszu na koniec roku</t>
  </si>
  <si>
    <t xml:space="preserve">Plan przychodów i wydatków Powiatowego Funduszu Ochrony Środowiska </t>
  </si>
  <si>
    <t>i Gospodarki Wodnej Powiatu Pyrzyckiego w 2008 r.</t>
  </si>
  <si>
    <t>GOSPODARKA KOMUNALNA I OCHRONA ŚRODOWISKA</t>
  </si>
  <si>
    <t>Fundusz Ochrony Środowiska i Gospodarki Wodnej</t>
  </si>
  <si>
    <t>Przelewy redystrybucyjne - wpływy z Wojewódzkiego Funduszu Ochrony Środowiska i Gospodarki Wodnej</t>
  </si>
  <si>
    <t>Załącznik Nr 13</t>
  </si>
  <si>
    <t xml:space="preserve">PRZYCHODY I ROZCHODY </t>
  </si>
  <si>
    <t xml:space="preserve"> BUDŻETU POWIATU PYRZYCKIEGO</t>
  </si>
  <si>
    <t xml:space="preserve">  W 2008 r.</t>
  </si>
  <si>
    <t>Lp.</t>
  </si>
  <si>
    <t>Treść</t>
  </si>
  <si>
    <t>Klasyfikacja            wg §</t>
  </si>
  <si>
    <t>Przychody ogółem</t>
  </si>
  <si>
    <t>x</t>
  </si>
  <si>
    <t>Przychody ze spłat pożyczek i kredytów udzielonych ze środków publicznych</t>
  </si>
  <si>
    <t>Przychody z tytułu innych rozliczeń krajowych</t>
  </si>
  <si>
    <t>Rozchody ogółem</t>
  </si>
  <si>
    <t>Spłata otrzymanych krajowych pożyczek i kredytów</t>
  </si>
  <si>
    <t>Różnica przychodów nad rozchodami</t>
  </si>
  <si>
    <t>Rozliczenia z tytułu poręczeń i gwarancji udzielonych przez Skarb Państwa lub jednostkę samorządu terytorialnego</t>
  </si>
  <si>
    <t xml:space="preserve">- rezerwy ogólne </t>
  </si>
  <si>
    <t xml:space="preserve">Wydatki z tytułu poręczeń i gwarancji  </t>
  </si>
  <si>
    <t>do uchwały Nr XIII/48/07</t>
  </si>
  <si>
    <t>z dnia 19 grudnia 2007 r.</t>
  </si>
  <si>
    <t>Załącznik Nr 9</t>
  </si>
  <si>
    <t>Załącznik Nr 11</t>
  </si>
  <si>
    <t>Załącznik Nr 12</t>
  </si>
  <si>
    <t xml:space="preserve">OŚWIATA I WYCHOWANIE </t>
  </si>
  <si>
    <t>Obsługa papierów wartościowych, kredytów i pożyczek jednostek samorządu terytorialnego</t>
  </si>
  <si>
    <t>Przychody ze sprzedaży innych papierów wartościowych</t>
  </si>
  <si>
    <t>Wykup innych papierów wartościowych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</si>
</sst>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%"/>
  </numFmts>
  <fonts count="31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u val="single"/>
      <sz val="10"/>
      <name val="Times New Roman"/>
      <family val="1"/>
    </font>
    <font>
      <sz val="8"/>
      <name val="Times New Roman"/>
      <family val="1"/>
    </font>
    <font>
      <b/>
      <i/>
      <sz val="10"/>
      <name val="Arial CE"/>
      <family val="2"/>
    </font>
    <font>
      <b/>
      <sz val="10"/>
      <name val="Arial CE"/>
      <family val="2"/>
    </font>
    <font>
      <sz val="10"/>
      <color indexed="56"/>
      <name val="Arial CE"/>
      <family val="2"/>
    </font>
    <font>
      <sz val="12"/>
      <name val="Times New Roman"/>
      <family val="1"/>
    </font>
    <font>
      <i/>
      <u val="single"/>
      <sz val="8"/>
      <name val="Arial CE"/>
      <family val="0"/>
    </font>
    <font>
      <b/>
      <i/>
      <sz val="10"/>
      <name val="Times New Roman"/>
      <family val="1"/>
    </font>
    <font>
      <b/>
      <sz val="10"/>
      <color indexed="9"/>
      <name val="Arial CE"/>
      <family val="0"/>
    </font>
    <font>
      <sz val="10"/>
      <color indexed="9"/>
      <name val="Arial CE"/>
      <family val="0"/>
    </font>
    <font>
      <b/>
      <sz val="9"/>
      <name val="Times New Roman"/>
      <family val="1"/>
    </font>
    <font>
      <i/>
      <sz val="10"/>
      <name val="Arial CE"/>
      <family val="0"/>
    </font>
    <font>
      <i/>
      <sz val="9"/>
      <name val="Arial CE"/>
      <family val="0"/>
    </font>
    <font>
      <sz val="10"/>
      <color indexed="10"/>
      <name val="Arial CE"/>
      <family val="0"/>
    </font>
    <font>
      <i/>
      <sz val="8"/>
      <name val="Arial CE"/>
      <family val="0"/>
    </font>
    <font>
      <sz val="9"/>
      <name val="Arial CE"/>
      <family val="0"/>
    </font>
    <font>
      <sz val="9"/>
      <name val="Times New Roman"/>
      <family val="1"/>
    </font>
    <font>
      <b/>
      <i/>
      <sz val="11"/>
      <name val="Times New Roman"/>
      <family val="1"/>
    </font>
    <font>
      <i/>
      <u val="single"/>
      <sz val="8"/>
      <name val="Times New Roman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9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ck"/>
      <bottom style="thick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thin"/>
      <top style="thin"/>
      <bottom style="thick"/>
    </border>
    <border>
      <left style="thin"/>
      <right style="medium"/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 style="double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double"/>
    </border>
    <border>
      <left style="medium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double"/>
      <bottom style="medium"/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medium"/>
      <right style="thin"/>
      <top style="thick"/>
      <bottom style="thick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4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3" fontId="0" fillId="0" borderId="2" xfId="0" applyNumberFormat="1" applyFont="1" applyFill="1" applyBorder="1" applyAlignment="1">
      <alignment/>
    </xf>
    <xf numFmtId="3" fontId="0" fillId="0" borderId="3" xfId="0" applyNumberFormat="1" applyFont="1" applyFill="1" applyBorder="1" applyAlignment="1">
      <alignment/>
    </xf>
    <xf numFmtId="3" fontId="0" fillId="0" borderId="4" xfId="0" applyNumberFormat="1" applyFont="1" applyFill="1" applyBorder="1" applyAlignment="1">
      <alignment horizontal="right"/>
    </xf>
    <xf numFmtId="3" fontId="0" fillId="0" borderId="3" xfId="0" applyNumberFormat="1" applyFont="1" applyFill="1" applyBorder="1" applyAlignment="1">
      <alignment horizontal="right"/>
    </xf>
    <xf numFmtId="3" fontId="0" fillId="0" borderId="5" xfId="0" applyNumberFormat="1" applyFont="1" applyFill="1" applyBorder="1" applyAlignment="1">
      <alignment/>
    </xf>
    <xf numFmtId="3" fontId="0" fillId="0" borderId="6" xfId="0" applyNumberFormat="1" applyFont="1" applyFill="1" applyBorder="1" applyAlignment="1">
      <alignment/>
    </xf>
    <xf numFmtId="3" fontId="0" fillId="0" borderId="7" xfId="0" applyNumberFormat="1" applyFont="1" applyFill="1" applyBorder="1" applyAlignment="1">
      <alignment horizontal="right"/>
    </xf>
    <xf numFmtId="3" fontId="0" fillId="0" borderId="6" xfId="0" applyNumberFormat="1" applyFont="1" applyFill="1" applyBorder="1" applyAlignment="1">
      <alignment horizontal="right"/>
    </xf>
    <xf numFmtId="3" fontId="0" fillId="0" borderId="5" xfId="0" applyNumberFormat="1" applyFont="1" applyFill="1" applyBorder="1" applyAlignment="1">
      <alignment horizontal="right"/>
    </xf>
    <xf numFmtId="3" fontId="0" fillId="0" borderId="5" xfId="0" applyNumberFormat="1" applyFont="1" applyFill="1" applyBorder="1" applyAlignment="1">
      <alignment horizontal="right" vertical="center"/>
    </xf>
    <xf numFmtId="3" fontId="0" fillId="0" borderId="6" xfId="0" applyNumberFormat="1" applyFont="1" applyFill="1" applyBorder="1" applyAlignment="1">
      <alignment horizontal="right" vertical="center" wrapText="1"/>
    </xf>
    <xf numFmtId="3" fontId="0" fillId="0" borderId="7" xfId="0" applyNumberFormat="1" applyFont="1" applyFill="1" applyBorder="1" applyAlignment="1">
      <alignment horizontal="right" vertical="center"/>
    </xf>
    <xf numFmtId="0" fontId="1" fillId="0" borderId="8" xfId="0" applyFont="1" applyBorder="1" applyAlignment="1">
      <alignment/>
    </xf>
    <xf numFmtId="0" fontId="2" fillId="0" borderId="9" xfId="0" applyFont="1" applyBorder="1" applyAlignment="1">
      <alignment horizontal="center"/>
    </xf>
    <xf numFmtId="3" fontId="2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left"/>
    </xf>
    <xf numFmtId="3" fontId="2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 horizontal="right"/>
    </xf>
    <xf numFmtId="0" fontId="5" fillId="0" borderId="3" xfId="0" applyFont="1" applyBorder="1" applyAlignment="1">
      <alignment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/>
    </xf>
    <xf numFmtId="0" fontId="5" fillId="0" borderId="6" xfId="0" applyFont="1" applyBorder="1" applyAlignment="1">
      <alignment wrapText="1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49" fontId="5" fillId="0" borderId="3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0" fillId="0" borderId="15" xfId="0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 wrapText="1"/>
    </xf>
    <xf numFmtId="1" fontId="10" fillId="0" borderId="17" xfId="0" applyNumberFormat="1" applyFont="1" applyFill="1" applyBorder="1" applyAlignment="1">
      <alignment horizontal="center" vertical="center"/>
    </xf>
    <xf numFmtId="1" fontId="10" fillId="0" borderId="16" xfId="0" applyNumberFormat="1" applyFont="1" applyFill="1" applyBorder="1" applyAlignment="1">
      <alignment horizontal="center" vertical="center"/>
    </xf>
    <xf numFmtId="1" fontId="10" fillId="0" borderId="16" xfId="0" applyNumberFormat="1" applyFont="1" applyFill="1" applyBorder="1" applyAlignment="1">
      <alignment horizontal="center" vertical="center" wrapText="1"/>
    </xf>
    <xf numFmtId="0" fontId="11" fillId="0" borderId="18" xfId="0" applyNumberFormat="1" applyFont="1" applyFill="1" applyBorder="1" applyAlignment="1">
      <alignment horizontal="center" vertical="center"/>
    </xf>
    <xf numFmtId="0" fontId="11" fillId="0" borderId="18" xfId="0" applyNumberFormat="1" applyFont="1" applyFill="1" applyBorder="1" applyAlignment="1">
      <alignment vertical="center"/>
    </xf>
    <xf numFmtId="3" fontId="11" fillId="0" borderId="19" xfId="0" applyNumberFormat="1" applyFont="1" applyFill="1" applyBorder="1" applyAlignment="1">
      <alignment/>
    </xf>
    <xf numFmtId="0" fontId="0" fillId="0" borderId="20" xfId="0" applyNumberFormat="1" applyFont="1" applyFill="1" applyBorder="1" applyAlignment="1">
      <alignment horizontal="center" vertical="center"/>
    </xf>
    <xf numFmtId="0" fontId="0" fillId="0" borderId="20" xfId="0" applyNumberFormat="1" applyFont="1" applyFill="1" applyBorder="1" applyAlignment="1">
      <alignment vertical="center"/>
    </xf>
    <xf numFmtId="0" fontId="0" fillId="0" borderId="20" xfId="0" applyNumberFormat="1" applyFont="1" applyFill="1" applyBorder="1" applyAlignment="1">
      <alignment vertical="center" wrapText="1"/>
    </xf>
    <xf numFmtId="3" fontId="0" fillId="0" borderId="20" xfId="0" applyNumberFormat="1" applyFont="1" applyFill="1" applyBorder="1" applyAlignment="1">
      <alignment/>
    </xf>
    <xf numFmtId="0" fontId="0" fillId="0" borderId="16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vertical="center" wrapText="1"/>
    </xf>
    <xf numFmtId="3" fontId="0" fillId="0" borderId="21" xfId="0" applyNumberFormat="1" applyFont="1" applyFill="1" applyBorder="1" applyAlignment="1">
      <alignment/>
    </xf>
    <xf numFmtId="49" fontId="11" fillId="0" borderId="19" xfId="0" applyNumberFormat="1" applyFont="1" applyFill="1" applyBorder="1" applyAlignment="1">
      <alignment horizontal="center" vertical="center"/>
    </xf>
    <xf numFmtId="49" fontId="11" fillId="0" borderId="18" xfId="0" applyNumberFormat="1" applyFont="1" applyFill="1" applyBorder="1" applyAlignment="1">
      <alignment horizontal="center" vertical="center"/>
    </xf>
    <xf numFmtId="49" fontId="11" fillId="0" borderId="18" xfId="0" applyNumberFormat="1" applyFont="1" applyFill="1" applyBorder="1" applyAlignment="1">
      <alignment vertical="center"/>
    </xf>
    <xf numFmtId="0" fontId="11" fillId="0" borderId="19" xfId="0" applyNumberFormat="1" applyFont="1" applyFill="1" applyBorder="1" applyAlignment="1">
      <alignment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vertical="center" wrapText="1"/>
    </xf>
    <xf numFmtId="0" fontId="11" fillId="0" borderId="19" xfId="0" applyNumberFormat="1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vertical="center"/>
    </xf>
    <xf numFmtId="3" fontId="0" fillId="0" borderId="16" xfId="0" applyNumberFormat="1" applyFont="1" applyFill="1" applyBorder="1" applyAlignment="1">
      <alignment/>
    </xf>
    <xf numFmtId="49" fontId="0" fillId="0" borderId="21" xfId="0" applyNumberFormat="1" applyFont="1" applyFill="1" applyBorder="1" applyAlignment="1">
      <alignment vertical="center" wrapText="1"/>
    </xf>
    <xf numFmtId="0" fontId="11" fillId="0" borderId="19" xfId="0" applyNumberFormat="1" applyFont="1" applyFill="1" applyBorder="1" applyAlignment="1">
      <alignment vertical="center" wrapText="1"/>
    </xf>
    <xf numFmtId="0" fontId="0" fillId="0" borderId="16" xfId="0" applyNumberFormat="1" applyFont="1" applyFill="1" applyBorder="1" applyAlignment="1">
      <alignment vertical="center"/>
    </xf>
    <xf numFmtId="0" fontId="0" fillId="0" borderId="21" xfId="0" applyNumberFormat="1" applyFont="1" applyFill="1" applyBorder="1" applyAlignment="1">
      <alignment horizontal="center" vertical="center" wrapText="1"/>
    </xf>
    <xf numFmtId="0" fontId="0" fillId="0" borderId="21" xfId="0" applyNumberFormat="1" applyFont="1" applyFill="1" applyBorder="1" applyAlignment="1">
      <alignment wrapText="1"/>
    </xf>
    <xf numFmtId="3" fontId="11" fillId="0" borderId="18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11" fillId="0" borderId="21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11" fillId="0" borderId="15" xfId="0" applyNumberFormat="1" applyFont="1" applyFill="1" applyBorder="1" applyAlignment="1">
      <alignment/>
    </xf>
    <xf numFmtId="0" fontId="0" fillId="0" borderId="19" xfId="0" applyNumberFormat="1" applyFont="1" applyFill="1" applyBorder="1" applyAlignment="1">
      <alignment horizontal="center" vertical="center"/>
    </xf>
    <xf numFmtId="3" fontId="11" fillId="0" borderId="19" xfId="0" applyNumberFormat="1" applyFont="1" applyFill="1" applyBorder="1" applyAlignment="1">
      <alignment/>
    </xf>
    <xf numFmtId="0" fontId="0" fillId="0" borderId="22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vertical="center"/>
    </xf>
    <xf numFmtId="3" fontId="0" fillId="0" borderId="22" xfId="0" applyNumberFormat="1" applyFont="1" applyFill="1" applyBorder="1" applyAlignment="1">
      <alignment/>
    </xf>
    <xf numFmtId="3" fontId="11" fillId="0" borderId="23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3" fontId="13" fillId="0" borderId="0" xfId="0" applyNumberFormat="1" applyFont="1" applyAlignment="1">
      <alignment/>
    </xf>
    <xf numFmtId="3" fontId="13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 horizontal="right"/>
    </xf>
    <xf numFmtId="0" fontId="7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19" xfId="0" applyFont="1" applyBorder="1" applyAlignment="1">
      <alignment/>
    </xf>
    <xf numFmtId="3" fontId="12" fillId="0" borderId="19" xfId="0" applyNumberFormat="1" applyFont="1" applyBorder="1" applyAlignment="1">
      <alignment/>
    </xf>
    <xf numFmtId="10" fontId="12" fillId="0" borderId="28" xfId="0" applyNumberFormat="1" applyFont="1" applyBorder="1" applyAlignment="1">
      <alignment horizontal="center"/>
    </xf>
    <xf numFmtId="0" fontId="0" fillId="0" borderId="2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0" fontId="0" fillId="0" borderId="30" xfId="0" applyNumberFormat="1" applyFont="1" applyBorder="1" applyAlignment="1">
      <alignment horizontal="center"/>
    </xf>
    <xf numFmtId="0" fontId="0" fillId="0" borderId="3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3" fontId="0" fillId="0" borderId="17" xfId="0" applyNumberFormat="1" applyFont="1" applyFill="1" applyBorder="1" applyAlignment="1">
      <alignment/>
    </xf>
    <xf numFmtId="0" fontId="12" fillId="0" borderId="19" xfId="0" applyFont="1" applyBorder="1" applyAlignment="1">
      <alignment horizontal="center" vertical="center"/>
    </xf>
    <xf numFmtId="3" fontId="12" fillId="0" borderId="19" xfId="0" applyNumberFormat="1" applyFont="1" applyFill="1" applyBorder="1" applyAlignment="1">
      <alignment/>
    </xf>
    <xf numFmtId="10" fontId="0" fillId="0" borderId="35" xfId="0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10" fontId="0" fillId="0" borderId="36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9" xfId="0" applyFont="1" applyBorder="1" applyAlignment="1">
      <alignment/>
    </xf>
    <xf numFmtId="0" fontId="0" fillId="0" borderId="31" xfId="0" applyFont="1" applyBorder="1" applyAlignment="1">
      <alignment/>
    </xf>
    <xf numFmtId="3" fontId="0" fillId="0" borderId="21" xfId="0" applyNumberFormat="1" applyFont="1" applyBorder="1" applyAlignment="1">
      <alignment/>
    </xf>
    <xf numFmtId="0" fontId="0" fillId="0" borderId="38" xfId="0" applyFont="1" applyBorder="1" applyAlignment="1">
      <alignment/>
    </xf>
    <xf numFmtId="3" fontId="0" fillId="0" borderId="16" xfId="0" applyNumberFormat="1" applyFont="1" applyBorder="1" applyAlignment="1">
      <alignment/>
    </xf>
    <xf numFmtId="3" fontId="12" fillId="0" borderId="23" xfId="0" applyNumberFormat="1" applyFont="1" applyFill="1" applyBorder="1" applyAlignment="1">
      <alignment/>
    </xf>
    <xf numFmtId="10" fontId="12" fillId="0" borderId="39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19" fillId="0" borderId="2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 wrapText="1"/>
    </xf>
    <xf numFmtId="0" fontId="11" fillId="0" borderId="19" xfId="0" applyFont="1" applyFill="1" applyBorder="1" applyAlignment="1">
      <alignment vertical="center" wrapText="1"/>
    </xf>
    <xf numFmtId="0" fontId="11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 wrapText="1"/>
    </xf>
    <xf numFmtId="3" fontId="0" fillId="0" borderId="22" xfId="0" applyNumberFormat="1" applyFont="1" applyFill="1" applyBorder="1" applyAlignment="1">
      <alignment/>
    </xf>
    <xf numFmtId="49" fontId="0" fillId="0" borderId="21" xfId="0" applyNumberFormat="1" applyFont="1" applyFill="1" applyBorder="1" applyAlignment="1">
      <alignment vertical="center" wrapText="1"/>
    </xf>
    <xf numFmtId="49" fontId="21" fillId="0" borderId="21" xfId="0" applyNumberFormat="1" applyFont="1" applyFill="1" applyBorder="1" applyAlignment="1">
      <alignment vertical="center" wrapText="1"/>
    </xf>
    <xf numFmtId="0" fontId="22" fillId="0" borderId="22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3" fontId="11" fillId="0" borderId="19" xfId="0" applyNumberFormat="1" applyFont="1" applyFill="1" applyBorder="1" applyAlignment="1">
      <alignment horizontal="center" vertical="center"/>
    </xf>
    <xf numFmtId="3" fontId="11" fillId="0" borderId="19" xfId="0" applyNumberFormat="1" applyFont="1" applyFill="1" applyBorder="1" applyAlignment="1">
      <alignment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9" xfId="0" applyFont="1" applyBorder="1" applyAlignment="1">
      <alignment vertical="center"/>
    </xf>
    <xf numFmtId="0" fontId="11" fillId="0" borderId="19" xfId="0" applyFont="1" applyBorder="1" applyAlignment="1">
      <alignment vertical="center" wrapText="1"/>
    </xf>
    <xf numFmtId="3" fontId="11" fillId="0" borderId="19" xfId="0" applyNumberFormat="1" applyFont="1" applyBorder="1" applyAlignment="1">
      <alignment/>
    </xf>
    <xf numFmtId="0" fontId="11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 wrapText="1"/>
    </xf>
    <xf numFmtId="3" fontId="0" fillId="0" borderId="20" xfId="0" applyNumberFormat="1" applyFont="1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wrapText="1"/>
    </xf>
    <xf numFmtId="3" fontId="0" fillId="0" borderId="16" xfId="0" applyNumberFormat="1" applyBorder="1" applyAlignment="1">
      <alignment/>
    </xf>
    <xf numFmtId="3" fontId="0" fillId="0" borderId="16" xfId="0" applyNumberFormat="1" applyFill="1" applyBorder="1" applyAlignment="1">
      <alignment/>
    </xf>
    <xf numFmtId="0" fontId="0" fillId="0" borderId="15" xfId="0" applyBorder="1" applyAlignment="1">
      <alignment wrapText="1"/>
    </xf>
    <xf numFmtId="3" fontId="0" fillId="0" borderId="15" xfId="0" applyNumberForma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0" fillId="0" borderId="40" xfId="0" applyNumberFormat="1" applyFill="1" applyBorder="1" applyAlignment="1">
      <alignment/>
    </xf>
    <xf numFmtId="3" fontId="0" fillId="0" borderId="21" xfId="0" applyNumberFormat="1" applyFill="1" applyBorder="1" applyAlignment="1">
      <alignment/>
    </xf>
    <xf numFmtId="3" fontId="0" fillId="0" borderId="41" xfId="0" applyNumberForma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0" fillId="0" borderId="22" xfId="0" applyNumberFormat="1" applyFill="1" applyBorder="1" applyAlignment="1">
      <alignment/>
    </xf>
    <xf numFmtId="0" fontId="0" fillId="0" borderId="21" xfId="0" applyFill="1" applyBorder="1" applyAlignment="1">
      <alignment horizontal="center" vertical="center"/>
    </xf>
    <xf numFmtId="3" fontId="0" fillId="0" borderId="17" xfId="0" applyNumberFormat="1" applyFill="1" applyBorder="1" applyAlignment="1">
      <alignment/>
    </xf>
    <xf numFmtId="3" fontId="11" fillId="0" borderId="42" xfId="0" applyNumberFormat="1" applyFont="1" applyBorder="1" applyAlignment="1">
      <alignment/>
    </xf>
    <xf numFmtId="49" fontId="19" fillId="0" borderId="1" xfId="0" applyNumberFormat="1" applyFont="1" applyBorder="1" applyAlignment="1">
      <alignment horizontal="center" vertical="center" wrapText="1"/>
    </xf>
    <xf numFmtId="49" fontId="25" fillId="0" borderId="43" xfId="0" applyNumberFormat="1" applyFont="1" applyBorder="1" applyAlignment="1">
      <alignment horizontal="center" vertical="center"/>
    </xf>
    <xf numFmtId="49" fontId="25" fillId="0" borderId="44" xfId="0" applyNumberFormat="1" applyFont="1" applyBorder="1" applyAlignment="1">
      <alignment horizontal="center" vertical="center"/>
    </xf>
    <xf numFmtId="49" fontId="25" fillId="0" borderId="44" xfId="0" applyNumberFormat="1" applyFont="1" applyBorder="1" applyAlignment="1">
      <alignment horizontal="center" vertical="center" wrapText="1"/>
    </xf>
    <xf numFmtId="49" fontId="25" fillId="0" borderId="42" xfId="0" applyNumberFormat="1" applyFont="1" applyBorder="1" applyAlignment="1">
      <alignment horizontal="center" vertical="center" wrapText="1"/>
    </xf>
    <xf numFmtId="49" fontId="25" fillId="0" borderId="0" xfId="0" applyNumberFormat="1" applyFont="1" applyBorder="1" applyAlignment="1">
      <alignment horizontal="center" vertical="center" wrapText="1"/>
    </xf>
    <xf numFmtId="49" fontId="25" fillId="0" borderId="45" xfId="0" applyNumberFormat="1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/>
    </xf>
    <xf numFmtId="0" fontId="11" fillId="0" borderId="46" xfId="0" applyFont="1" applyBorder="1" applyAlignment="1">
      <alignment vertical="center"/>
    </xf>
    <xf numFmtId="0" fontId="11" fillId="0" borderId="47" xfId="0" applyFont="1" applyBorder="1" applyAlignment="1">
      <alignment vertical="center" wrapText="1"/>
    </xf>
    <xf numFmtId="3" fontId="11" fillId="0" borderId="46" xfId="0" applyNumberFormat="1" applyFont="1" applyBorder="1" applyAlignment="1">
      <alignment/>
    </xf>
    <xf numFmtId="3" fontId="11" fillId="0" borderId="48" xfId="0" applyNumberFormat="1" applyFont="1" applyBorder="1" applyAlignment="1">
      <alignment/>
    </xf>
    <xf numFmtId="0" fontId="0" fillId="0" borderId="13" xfId="0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49" xfId="0" applyBorder="1" applyAlignment="1">
      <alignment vertical="center" wrapText="1"/>
    </xf>
    <xf numFmtId="3" fontId="0" fillId="0" borderId="13" xfId="0" applyNumberFormat="1" applyBorder="1" applyAlignment="1">
      <alignment/>
    </xf>
    <xf numFmtId="0" fontId="11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vertical="center" wrapText="1"/>
    </xf>
    <xf numFmtId="3" fontId="11" fillId="0" borderId="50" xfId="0" applyNumberFormat="1" applyFont="1" applyBorder="1" applyAlignment="1">
      <alignment/>
    </xf>
    <xf numFmtId="3" fontId="11" fillId="0" borderId="52" xfId="0" applyNumberFormat="1" applyFont="1" applyFill="1" applyBorder="1" applyAlignment="1">
      <alignment/>
    </xf>
    <xf numFmtId="0" fontId="0" fillId="0" borderId="53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3" fontId="0" fillId="0" borderId="53" xfId="0" applyNumberFormat="1" applyBorder="1" applyAlignment="1">
      <alignment/>
    </xf>
    <xf numFmtId="3" fontId="0" fillId="0" borderId="54" xfId="0" applyNumberFormat="1" applyFill="1" applyBorder="1" applyAlignment="1">
      <alignment/>
    </xf>
    <xf numFmtId="0" fontId="0" fillId="0" borderId="6" xfId="0" applyBorder="1" applyAlignment="1">
      <alignment horizontal="center" vertical="center"/>
    </xf>
    <xf numFmtId="0" fontId="0" fillId="0" borderId="55" xfId="0" applyBorder="1" applyAlignment="1">
      <alignment vertical="center" wrapText="1"/>
    </xf>
    <xf numFmtId="3" fontId="0" fillId="0" borderId="6" xfId="0" applyNumberFormat="1" applyBorder="1" applyAlignment="1">
      <alignment/>
    </xf>
    <xf numFmtId="3" fontId="0" fillId="0" borderId="56" xfId="0" applyNumberFormat="1" applyFill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57" xfId="0" applyBorder="1" applyAlignment="1">
      <alignment vertical="center" wrapText="1"/>
    </xf>
    <xf numFmtId="3" fontId="0" fillId="0" borderId="12" xfId="0" applyNumberFormat="1" applyBorder="1" applyAlignment="1">
      <alignment/>
    </xf>
    <xf numFmtId="3" fontId="0" fillId="0" borderId="12" xfId="0" applyNumberFormat="1" applyFill="1" applyBorder="1" applyAlignment="1">
      <alignment/>
    </xf>
    <xf numFmtId="3" fontId="0" fillId="0" borderId="58" xfId="0" applyNumberFormat="1" applyFill="1" applyBorder="1" applyAlignment="1">
      <alignment/>
    </xf>
    <xf numFmtId="3" fontId="11" fillId="0" borderId="50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0" fontId="0" fillId="0" borderId="12" xfId="0" applyFill="1" applyBorder="1" applyAlignment="1">
      <alignment horizontal="center" vertical="center"/>
    </xf>
    <xf numFmtId="0" fontId="0" fillId="0" borderId="57" xfId="0" applyFill="1" applyBorder="1" applyAlignment="1">
      <alignment vertical="center" wrapText="1"/>
    </xf>
    <xf numFmtId="0" fontId="11" fillId="0" borderId="13" xfId="0" applyFont="1" applyBorder="1" applyAlignment="1">
      <alignment horizontal="center" vertical="center"/>
    </xf>
    <xf numFmtId="3" fontId="0" fillId="0" borderId="13" xfId="0" applyNumberFormat="1" applyFont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0" borderId="40" xfId="0" applyNumberFormat="1" applyFont="1" applyFill="1" applyBorder="1" applyAlignment="1">
      <alignment/>
    </xf>
    <xf numFmtId="3" fontId="11" fillId="0" borderId="52" xfId="0" applyNumberFormat="1" applyFont="1" applyBorder="1" applyAlignment="1">
      <alignment/>
    </xf>
    <xf numFmtId="0" fontId="11" fillId="0" borderId="59" xfId="0" applyFont="1" applyBorder="1" applyAlignment="1">
      <alignment horizontal="center" vertical="center"/>
    </xf>
    <xf numFmtId="0" fontId="11" fillId="0" borderId="60" xfId="0" applyFont="1" applyBorder="1" applyAlignment="1">
      <alignment vertical="center" wrapText="1"/>
    </xf>
    <xf numFmtId="3" fontId="11" fillId="0" borderId="59" xfId="0" applyNumberFormat="1" applyFont="1" applyBorder="1" applyAlignment="1">
      <alignment/>
    </xf>
    <xf numFmtId="0" fontId="0" fillId="0" borderId="61" xfId="0" applyBorder="1" applyAlignment="1">
      <alignment vertical="center"/>
    </xf>
    <xf numFmtId="0" fontId="0" fillId="0" borderId="61" xfId="0" applyBorder="1" applyAlignment="1">
      <alignment horizontal="center" vertical="center"/>
    </xf>
    <xf numFmtId="3" fontId="0" fillId="0" borderId="53" xfId="0" applyNumberFormat="1" applyFill="1" applyBorder="1" applyAlignment="1">
      <alignment/>
    </xf>
    <xf numFmtId="3" fontId="12" fillId="0" borderId="1" xfId="0" applyNumberFormat="1" applyFont="1" applyBorder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19" xfId="0" applyFont="1" applyBorder="1" applyAlignment="1">
      <alignment/>
    </xf>
    <xf numFmtId="3" fontId="11" fillId="0" borderId="28" xfId="0" applyNumberFormat="1" applyFont="1" applyBorder="1" applyAlignment="1">
      <alignment/>
    </xf>
    <xf numFmtId="0" fontId="0" fillId="0" borderId="65" xfId="0" applyFont="1" applyBorder="1" applyAlignment="1">
      <alignment horizontal="center" vertical="center"/>
    </xf>
    <xf numFmtId="3" fontId="11" fillId="0" borderId="44" xfId="0" applyNumberFormat="1" applyFont="1" applyBorder="1" applyAlignment="1">
      <alignment/>
    </xf>
    <xf numFmtId="0" fontId="8" fillId="0" borderId="0" xfId="0" applyFont="1" applyAlignment="1">
      <alignment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26" fillId="0" borderId="19" xfId="0" applyNumberFormat="1" applyFont="1" applyBorder="1" applyAlignment="1">
      <alignment horizontal="left" vertical="center" wrapText="1"/>
    </xf>
    <xf numFmtId="3" fontId="16" fillId="0" borderId="19" xfId="0" applyNumberFormat="1" applyFont="1" applyBorder="1" applyAlignment="1">
      <alignment/>
    </xf>
    <xf numFmtId="49" fontId="5" fillId="0" borderId="20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left" vertical="center" wrapText="1"/>
    </xf>
    <xf numFmtId="3" fontId="8" fillId="0" borderId="20" xfId="0" applyNumberFormat="1" applyFont="1" applyBorder="1" applyAlignment="1">
      <alignment/>
    </xf>
    <xf numFmtId="0" fontId="4" fillId="0" borderId="19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3" fontId="26" fillId="0" borderId="19" xfId="0" applyNumberFormat="1" applyFont="1" applyBorder="1" applyAlignment="1">
      <alignment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/>
    </xf>
    <xf numFmtId="3" fontId="5" fillId="0" borderId="20" xfId="0" applyNumberFormat="1" applyFont="1" applyBorder="1" applyAlignment="1">
      <alignment/>
    </xf>
    <xf numFmtId="3" fontId="16" fillId="0" borderId="42" xfId="0" applyNumberFormat="1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66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66" xfId="0" applyFont="1" applyBorder="1" applyAlignment="1">
      <alignment/>
    </xf>
    <xf numFmtId="0" fontId="0" fillId="0" borderId="67" xfId="0" applyFont="1" applyBorder="1" applyAlignment="1">
      <alignment/>
    </xf>
    <xf numFmtId="0" fontId="0" fillId="0" borderId="67" xfId="0" applyFont="1" applyBorder="1" applyAlignment="1">
      <alignment horizontal="left" vertical="top"/>
    </xf>
    <xf numFmtId="0" fontId="0" fillId="0" borderId="68" xfId="0" applyFont="1" applyBorder="1" applyAlignment="1">
      <alignment horizontal="center" vertical="center"/>
    </xf>
    <xf numFmtId="0" fontId="0" fillId="0" borderId="42" xfId="0" applyFont="1" applyBorder="1" applyAlignment="1">
      <alignment/>
    </xf>
    <xf numFmtId="0" fontId="0" fillId="0" borderId="42" xfId="0" applyFont="1" applyBorder="1" applyAlignment="1">
      <alignment horizontal="left" vertical="top"/>
    </xf>
    <xf numFmtId="0" fontId="0" fillId="0" borderId="62" xfId="0" applyFont="1" applyBorder="1" applyAlignment="1">
      <alignment horizontal="center"/>
    </xf>
    <xf numFmtId="0" fontId="0" fillId="0" borderId="64" xfId="0" applyFont="1" applyBorder="1" applyAlignment="1">
      <alignment/>
    </xf>
    <xf numFmtId="0" fontId="0" fillId="0" borderId="64" xfId="0" applyFont="1" applyBorder="1" applyAlignment="1">
      <alignment vertical="center" wrapText="1"/>
    </xf>
    <xf numFmtId="3" fontId="0" fillId="0" borderId="63" xfId="0" applyNumberFormat="1" applyFont="1" applyBorder="1" applyAlignment="1">
      <alignment/>
    </xf>
    <xf numFmtId="3" fontId="0" fillId="0" borderId="69" xfId="0" applyNumberFormat="1" applyFont="1" applyBorder="1" applyAlignment="1">
      <alignment/>
    </xf>
    <xf numFmtId="0" fontId="0" fillId="0" borderId="70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3" fontId="0" fillId="0" borderId="71" xfId="0" applyNumberFormat="1" applyFont="1" applyFill="1" applyBorder="1" applyAlignment="1">
      <alignment/>
    </xf>
    <xf numFmtId="0" fontId="0" fillId="0" borderId="72" xfId="0" applyFont="1" applyFill="1" applyBorder="1" applyAlignment="1">
      <alignment/>
    </xf>
    <xf numFmtId="0" fontId="0" fillId="0" borderId="73" xfId="0" applyFont="1" applyBorder="1" applyAlignment="1">
      <alignment/>
    </xf>
    <xf numFmtId="0" fontId="0" fillId="0" borderId="74" xfId="0" applyFont="1" applyBorder="1" applyAlignment="1">
      <alignment horizontal="center"/>
    </xf>
    <xf numFmtId="3" fontId="0" fillId="0" borderId="75" xfId="0" applyNumberFormat="1" applyFont="1" applyFill="1" applyBorder="1" applyAlignment="1">
      <alignment/>
    </xf>
    <xf numFmtId="3" fontId="12" fillId="0" borderId="44" xfId="0" applyNumberFormat="1" applyFont="1" applyBorder="1" applyAlignment="1">
      <alignment/>
    </xf>
    <xf numFmtId="0" fontId="0" fillId="0" borderId="67" xfId="0" applyFont="1" applyBorder="1" applyAlignment="1">
      <alignment horizontal="left" vertical="center"/>
    </xf>
    <xf numFmtId="0" fontId="0" fillId="0" borderId="76" xfId="0" applyFont="1" applyBorder="1" applyAlignment="1">
      <alignment horizontal="center" vertical="center"/>
    </xf>
    <xf numFmtId="0" fontId="0" fillId="0" borderId="77" xfId="0" applyFont="1" applyFill="1" applyBorder="1" applyAlignment="1">
      <alignment/>
    </xf>
    <xf numFmtId="0" fontId="0" fillId="0" borderId="74" xfId="0" applyFont="1" applyBorder="1" applyAlignment="1">
      <alignment/>
    </xf>
    <xf numFmtId="0" fontId="0" fillId="0" borderId="76" xfId="0" applyFont="1" applyFill="1" applyBorder="1" applyAlignment="1">
      <alignment/>
    </xf>
    <xf numFmtId="3" fontId="12" fillId="0" borderId="45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46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 wrapText="1"/>
    </xf>
    <xf numFmtId="3" fontId="0" fillId="0" borderId="78" xfId="0" applyNumberFormat="1" applyFont="1" applyBorder="1" applyAlignment="1">
      <alignment vertical="center"/>
    </xf>
    <xf numFmtId="0" fontId="0" fillId="0" borderId="16" xfId="0" applyFont="1" applyBorder="1" applyAlignment="1">
      <alignment horizontal="left" vertical="center" wrapText="1"/>
    </xf>
    <xf numFmtId="3" fontId="0" fillId="0" borderId="36" xfId="0" applyNumberFormat="1" applyFont="1" applyFill="1" applyBorder="1" applyAlignment="1">
      <alignment/>
    </xf>
    <xf numFmtId="0" fontId="0" fillId="0" borderId="5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 wrapText="1"/>
    </xf>
    <xf numFmtId="3" fontId="0" fillId="0" borderId="79" xfId="0" applyNumberFormat="1" applyFont="1" applyFill="1" applyBorder="1" applyAlignment="1">
      <alignment/>
    </xf>
    <xf numFmtId="0" fontId="4" fillId="0" borderId="4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1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27" fillId="0" borderId="0" xfId="0" applyFont="1" applyAlignment="1">
      <alignment horizontal="right"/>
    </xf>
    <xf numFmtId="0" fontId="4" fillId="0" borderId="1" xfId="0" applyFont="1" applyBorder="1" applyAlignment="1">
      <alignment horizontal="left" vertical="center" wrapText="1"/>
    </xf>
    <xf numFmtId="0" fontId="4" fillId="0" borderId="20" xfId="0" applyFont="1" applyBorder="1" applyAlignment="1">
      <alignment/>
    </xf>
    <xf numFmtId="3" fontId="4" fillId="0" borderId="20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0" fontId="5" fillId="0" borderId="21" xfId="0" applyFont="1" applyBorder="1" applyAlignment="1">
      <alignment horizontal="right"/>
    </xf>
    <xf numFmtId="0" fontId="5" fillId="0" borderId="21" xfId="0" applyFont="1" applyBorder="1" applyAlignment="1">
      <alignment/>
    </xf>
    <xf numFmtId="3" fontId="5" fillId="0" borderId="21" xfId="0" applyNumberFormat="1" applyFont="1" applyBorder="1" applyAlignment="1">
      <alignment/>
    </xf>
    <xf numFmtId="0" fontId="5" fillId="0" borderId="21" xfId="0" applyFont="1" applyBorder="1" applyAlignment="1">
      <alignment horizontal="left" vertical="center" wrapText="1"/>
    </xf>
    <xf numFmtId="3" fontId="5" fillId="0" borderId="35" xfId="0" applyNumberFormat="1" applyFont="1" applyBorder="1" applyAlignment="1">
      <alignment horizontal="right" vertical="center"/>
    </xf>
    <xf numFmtId="49" fontId="5" fillId="0" borderId="21" xfId="0" applyNumberFormat="1" applyFont="1" applyBorder="1" applyAlignment="1">
      <alignment horizontal="left" vertical="center" wrapText="1"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wrapText="1"/>
    </xf>
    <xf numFmtId="3" fontId="5" fillId="0" borderId="16" xfId="0" applyNumberFormat="1" applyFont="1" applyBorder="1" applyAlignment="1">
      <alignment/>
    </xf>
    <xf numFmtId="3" fontId="5" fillId="0" borderId="42" xfId="0" applyNumberFormat="1" applyFont="1" applyBorder="1" applyAlignment="1">
      <alignment/>
    </xf>
    <xf numFmtId="3" fontId="5" fillId="0" borderId="45" xfId="0" applyNumberFormat="1" applyFont="1" applyBorder="1" applyAlignment="1">
      <alignment/>
    </xf>
    <xf numFmtId="0" fontId="5" fillId="0" borderId="43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80" xfId="0" applyNumberFormat="1" applyFont="1" applyBorder="1" applyAlignment="1">
      <alignment/>
    </xf>
    <xf numFmtId="0" fontId="5" fillId="0" borderId="80" xfId="0" applyFont="1" applyBorder="1" applyAlignment="1">
      <alignment/>
    </xf>
    <xf numFmtId="3" fontId="5" fillId="0" borderId="14" xfId="0" applyNumberFormat="1" applyFont="1" applyBorder="1" applyAlignment="1">
      <alignment/>
    </xf>
    <xf numFmtId="3" fontId="26" fillId="0" borderId="1" xfId="0" applyNumberFormat="1" applyFont="1" applyBorder="1" applyAlignment="1">
      <alignment/>
    </xf>
    <xf numFmtId="0" fontId="4" fillId="0" borderId="8" xfId="0" applyFont="1" applyBorder="1" applyAlignment="1">
      <alignment horizontal="left" vertical="center" wrapText="1"/>
    </xf>
    <xf numFmtId="0" fontId="4" fillId="0" borderId="29" xfId="0" applyFont="1" applyBorder="1" applyAlignment="1">
      <alignment/>
    </xf>
    <xf numFmtId="0" fontId="5" fillId="0" borderId="81" xfId="0" applyFont="1" applyBorder="1" applyAlignment="1">
      <alignment wrapText="1"/>
    </xf>
    <xf numFmtId="3" fontId="4" fillId="0" borderId="13" xfId="0" applyNumberFormat="1" applyFont="1" applyBorder="1" applyAlignment="1">
      <alignment/>
    </xf>
    <xf numFmtId="0" fontId="4" fillId="0" borderId="40" xfId="0" applyFont="1" applyBorder="1" applyAlignment="1">
      <alignment/>
    </xf>
    <xf numFmtId="0" fontId="5" fillId="0" borderId="16" xfId="0" applyFont="1" applyBorder="1" applyAlignment="1">
      <alignment horizontal="center" vertical="center"/>
    </xf>
    <xf numFmtId="0" fontId="5" fillId="0" borderId="79" xfId="0" applyFont="1" applyBorder="1" applyAlignment="1">
      <alignment horizontal="left" vertical="center"/>
    </xf>
    <xf numFmtId="3" fontId="5" fillId="0" borderId="12" xfId="0" applyNumberFormat="1" applyFont="1" applyBorder="1" applyAlignment="1">
      <alignment/>
    </xf>
    <xf numFmtId="0" fontId="5" fillId="0" borderId="35" xfId="0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right" vertical="center"/>
    </xf>
    <xf numFmtId="3" fontId="0" fillId="0" borderId="13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5" fillId="0" borderId="1" xfId="0" applyNumberFormat="1" applyFont="1" applyBorder="1" applyAlignment="1">
      <alignment/>
    </xf>
    <xf numFmtId="0" fontId="5" fillId="0" borderId="9" xfId="0" applyFont="1" applyBorder="1" applyAlignment="1">
      <alignment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5" fillId="0" borderId="82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3" fontId="4" fillId="0" borderId="21" xfId="0" applyNumberFormat="1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1" xfId="0" applyFont="1" applyBorder="1" applyAlignment="1">
      <alignment wrapText="1"/>
    </xf>
    <xf numFmtId="0" fontId="5" fillId="0" borderId="56" xfId="0" applyFont="1" applyBorder="1" applyAlignment="1">
      <alignment/>
    </xf>
    <xf numFmtId="0" fontId="5" fillId="0" borderId="56" xfId="0" applyFont="1" applyBorder="1" applyAlignment="1">
      <alignment wrapText="1"/>
    </xf>
    <xf numFmtId="3" fontId="26" fillId="0" borderId="21" xfId="0" applyNumberFormat="1" applyFont="1" applyBorder="1" applyAlignment="1">
      <alignment/>
    </xf>
    <xf numFmtId="0" fontId="0" fillId="0" borderId="17" xfId="0" applyNumberFormat="1" applyFont="1" applyFill="1" applyBorder="1" applyAlignment="1">
      <alignment vertical="center" wrapText="1"/>
    </xf>
    <xf numFmtId="0" fontId="0" fillId="0" borderId="43" xfId="0" applyBorder="1" applyAlignment="1">
      <alignment/>
    </xf>
    <xf numFmtId="3" fontId="0" fillId="0" borderId="83" xfId="0" applyNumberFormat="1" applyFont="1" applyBorder="1" applyAlignment="1">
      <alignment/>
    </xf>
    <xf numFmtId="3" fontId="0" fillId="0" borderId="28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0" fontId="11" fillId="0" borderId="21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49" fontId="0" fillId="0" borderId="21" xfId="0" applyNumberFormat="1" applyFill="1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49" fontId="26" fillId="0" borderId="19" xfId="0" applyNumberFormat="1" applyFont="1" applyBorder="1" applyAlignment="1">
      <alignment wrapText="1"/>
    </xf>
    <xf numFmtId="49" fontId="5" fillId="0" borderId="19" xfId="0" applyNumberFormat="1" applyFont="1" applyBorder="1" applyAlignment="1">
      <alignment horizontal="center" vertical="center"/>
    </xf>
    <xf numFmtId="0" fontId="0" fillId="0" borderId="43" xfId="0" applyFill="1" applyBorder="1" applyAlignment="1">
      <alignment/>
    </xf>
    <xf numFmtId="49" fontId="8" fillId="0" borderId="21" xfId="0" applyNumberFormat="1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3" fontId="11" fillId="0" borderId="84" xfId="0" applyNumberFormat="1" applyFont="1" applyBorder="1" applyAlignment="1">
      <alignment/>
    </xf>
    <xf numFmtId="0" fontId="0" fillId="0" borderId="50" xfId="0" applyBorder="1" applyAlignment="1">
      <alignment vertical="center"/>
    </xf>
    <xf numFmtId="0" fontId="0" fillId="0" borderId="50" xfId="0" applyBorder="1" applyAlignment="1">
      <alignment horizontal="center" vertical="center"/>
    </xf>
    <xf numFmtId="0" fontId="0" fillId="0" borderId="50" xfId="0" applyBorder="1" applyAlignment="1">
      <alignment vertical="center" wrapText="1"/>
    </xf>
    <xf numFmtId="3" fontId="0" fillId="0" borderId="50" xfId="0" applyNumberFormat="1" applyBorder="1" applyAlignment="1">
      <alignment/>
    </xf>
    <xf numFmtId="3" fontId="0" fillId="0" borderId="50" xfId="0" applyNumberFormat="1" applyFill="1" applyBorder="1" applyAlignment="1">
      <alignment/>
    </xf>
    <xf numFmtId="3" fontId="0" fillId="0" borderId="27" xfId="0" applyNumberFormat="1" applyFill="1" applyBorder="1" applyAlignment="1">
      <alignment/>
    </xf>
    <xf numFmtId="3" fontId="0" fillId="0" borderId="41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30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3" fontId="2" fillId="0" borderId="10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49" fontId="0" fillId="0" borderId="20" xfId="0" applyNumberFormat="1" applyFont="1" applyFill="1" applyBorder="1" applyAlignment="1">
      <alignment vertical="center"/>
    </xf>
    <xf numFmtId="49" fontId="20" fillId="0" borderId="21" xfId="0" applyNumberFormat="1" applyFont="1" applyFill="1" applyBorder="1" applyAlignment="1">
      <alignment vertical="center" wrapText="1"/>
    </xf>
    <xf numFmtId="49" fontId="0" fillId="0" borderId="15" xfId="0" applyNumberFormat="1" applyFont="1" applyFill="1" applyBorder="1" applyAlignment="1">
      <alignment vertical="center" wrapText="1"/>
    </xf>
    <xf numFmtId="0" fontId="11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/>
    </xf>
    <xf numFmtId="0" fontId="0" fillId="0" borderId="20" xfId="0" applyFill="1" applyBorder="1" applyAlignment="1">
      <alignment horizontal="center" vertical="center"/>
    </xf>
    <xf numFmtId="0" fontId="0" fillId="0" borderId="20" xfId="0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0" fillId="0" borderId="17" xfId="0" applyFill="1" applyBorder="1" applyAlignment="1">
      <alignment horizontal="center" vertical="center"/>
    </xf>
    <xf numFmtId="0" fontId="0" fillId="0" borderId="17" xfId="0" applyFill="1" applyBorder="1" applyAlignment="1">
      <alignment wrapText="1"/>
    </xf>
    <xf numFmtId="0" fontId="11" fillId="0" borderId="18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wrapText="1"/>
    </xf>
    <xf numFmtId="0" fontId="0" fillId="0" borderId="41" xfId="0" applyFill="1" applyBorder="1" applyAlignment="1">
      <alignment horizontal="center" vertical="center"/>
    </xf>
    <xf numFmtId="0" fontId="0" fillId="0" borderId="19" xfId="0" applyFill="1" applyBorder="1" applyAlignment="1">
      <alignment wrapText="1"/>
    </xf>
    <xf numFmtId="0" fontId="11" fillId="0" borderId="18" xfId="0" applyFont="1" applyFill="1" applyBorder="1" applyAlignment="1">
      <alignment vertical="center" wrapText="1"/>
    </xf>
    <xf numFmtId="0" fontId="0" fillId="0" borderId="22" xfId="0" applyFill="1" applyBorder="1" applyAlignment="1">
      <alignment horizontal="center" vertical="center"/>
    </xf>
    <xf numFmtId="0" fontId="24" fillId="0" borderId="22" xfId="0" applyFont="1" applyFill="1" applyBorder="1" applyAlignment="1">
      <alignment vertical="center" wrapText="1"/>
    </xf>
    <xf numFmtId="49" fontId="20" fillId="0" borderId="17" xfId="0" applyNumberFormat="1" applyFont="1" applyFill="1" applyBorder="1" applyAlignment="1">
      <alignment vertical="center" wrapText="1"/>
    </xf>
    <xf numFmtId="3" fontId="0" fillId="0" borderId="17" xfId="0" applyNumberFormat="1" applyFont="1" applyFill="1" applyBorder="1" applyAlignment="1">
      <alignment/>
    </xf>
    <xf numFmtId="0" fontId="0" fillId="0" borderId="15" xfId="0" applyFill="1" applyBorder="1" applyAlignment="1">
      <alignment horizontal="center" vertical="center"/>
    </xf>
    <xf numFmtId="0" fontId="0" fillId="0" borderId="15" xfId="0" applyFill="1" applyBorder="1" applyAlignment="1">
      <alignment vertical="center" wrapText="1"/>
    </xf>
    <xf numFmtId="49" fontId="0" fillId="0" borderId="15" xfId="0" applyNumberFormat="1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0" fontId="11" fillId="0" borderId="19" xfId="0" applyFont="1" applyFill="1" applyBorder="1" applyAlignment="1">
      <alignment vertical="center" wrapText="1"/>
    </xf>
    <xf numFmtId="0" fontId="11" fillId="0" borderId="22" xfId="0" applyFont="1" applyFill="1" applyBorder="1" applyAlignment="1">
      <alignment horizontal="center" vertical="center"/>
    </xf>
    <xf numFmtId="0" fontId="0" fillId="0" borderId="16" xfId="0" applyFill="1" applyBorder="1" applyAlignment="1">
      <alignment vertical="center" wrapText="1"/>
    </xf>
    <xf numFmtId="3" fontId="11" fillId="0" borderId="42" xfId="0" applyNumberFormat="1" applyFont="1" applyFill="1" applyBorder="1" applyAlignment="1">
      <alignment/>
    </xf>
    <xf numFmtId="0" fontId="0" fillId="0" borderId="73" xfId="0" applyFont="1" applyFill="1" applyBorder="1" applyAlignment="1">
      <alignment/>
    </xf>
    <xf numFmtId="0" fontId="0" fillId="0" borderId="74" xfId="0" applyFont="1" applyFill="1" applyBorder="1" applyAlignment="1">
      <alignment horizontal="center"/>
    </xf>
    <xf numFmtId="0" fontId="0" fillId="0" borderId="74" xfId="0" applyFont="1" applyFill="1" applyBorder="1" applyAlignment="1">
      <alignment wrapText="1"/>
    </xf>
    <xf numFmtId="49" fontId="0" fillId="0" borderId="20" xfId="0" applyNumberFormat="1" applyFont="1" applyBorder="1" applyAlignment="1">
      <alignment horizontal="left" vertical="center" wrapText="1"/>
    </xf>
    <xf numFmtId="49" fontId="0" fillId="0" borderId="21" xfId="0" applyNumberFormat="1" applyFont="1" applyBorder="1" applyAlignment="1">
      <alignment horizontal="left" vertical="center" wrapText="1"/>
    </xf>
    <xf numFmtId="49" fontId="0" fillId="0" borderId="16" xfId="0" applyNumberFormat="1" applyFont="1" applyBorder="1" applyAlignment="1">
      <alignment horizontal="left" vertical="center" wrapText="1"/>
    </xf>
    <xf numFmtId="49" fontId="0" fillId="0" borderId="34" xfId="0" applyNumberFormat="1" applyFont="1" applyBorder="1" applyAlignment="1">
      <alignment horizontal="left" vertical="center" wrapText="1"/>
    </xf>
    <xf numFmtId="49" fontId="12" fillId="0" borderId="19" xfId="0" applyNumberFormat="1" applyFont="1" applyBorder="1" applyAlignment="1">
      <alignment horizontal="left" vertical="center" wrapText="1"/>
    </xf>
    <xf numFmtId="49" fontId="0" fillId="0" borderId="17" xfId="0" applyNumberFormat="1" applyFont="1" applyBorder="1" applyAlignment="1">
      <alignment horizontal="left" vertical="center" wrapText="1"/>
    </xf>
    <xf numFmtId="0" fontId="11" fillId="0" borderId="85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7" fillId="0" borderId="21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11" fillId="0" borderId="86" xfId="0" applyNumberFormat="1" applyFon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82" xfId="0" applyNumberFormat="1" applyFont="1" applyFill="1" applyBorder="1" applyAlignment="1">
      <alignment horizontal="left" wrapText="1"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0" fontId="7" fillId="0" borderId="55" xfId="0" applyNumberFormat="1" applyFont="1" applyFill="1" applyBorder="1" applyAlignment="1">
      <alignment horizontal="left" wrapText="1"/>
    </xf>
    <xf numFmtId="0" fontId="7" fillId="0" borderId="56" xfId="0" applyNumberFormat="1" applyFont="1" applyFill="1" applyBorder="1" applyAlignment="1">
      <alignment horizontal="left" wrapText="1"/>
    </xf>
    <xf numFmtId="49" fontId="3" fillId="0" borderId="0" xfId="0" applyNumberFormat="1" applyFont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2" fillId="0" borderId="88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9" fillId="0" borderId="82" xfId="0" applyFont="1" applyFill="1" applyBorder="1" applyAlignment="1">
      <alignment horizontal="left"/>
    </xf>
    <xf numFmtId="0" fontId="19" fillId="0" borderId="55" xfId="0" applyFont="1" applyFill="1" applyBorder="1" applyAlignment="1">
      <alignment horizontal="left"/>
    </xf>
    <xf numFmtId="0" fontId="19" fillId="0" borderId="56" xfId="0" applyFont="1" applyFill="1" applyBorder="1" applyAlignment="1">
      <alignment horizontal="left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 wrapText="1"/>
    </xf>
    <xf numFmtId="0" fontId="19" fillId="0" borderId="82" xfId="0" applyFont="1" applyBorder="1" applyAlignment="1">
      <alignment horizontal="left"/>
    </xf>
    <xf numFmtId="0" fontId="19" fillId="0" borderId="55" xfId="0" applyFont="1" applyBorder="1" applyAlignment="1">
      <alignment horizontal="left"/>
    </xf>
    <xf numFmtId="0" fontId="19" fillId="0" borderId="56" xfId="0" applyFont="1" applyBorder="1" applyAlignment="1">
      <alignment horizontal="left"/>
    </xf>
    <xf numFmtId="0" fontId="19" fillId="0" borderId="21" xfId="0" applyFont="1" applyBorder="1" applyAlignment="1">
      <alignment horizontal="left" vertical="center"/>
    </xf>
    <xf numFmtId="0" fontId="11" fillId="0" borderId="42" xfId="0" applyFont="1" applyFill="1" applyBorder="1" applyAlignment="1">
      <alignment horizontal="center" vertical="center"/>
    </xf>
    <xf numFmtId="0" fontId="12" fillId="0" borderId="44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49" fontId="19" fillId="0" borderId="8" xfId="0" applyNumberFormat="1" applyFont="1" applyBorder="1" applyAlignment="1">
      <alignment horizontal="center" vertical="center"/>
    </xf>
    <xf numFmtId="49" fontId="19" fillId="0" borderId="9" xfId="0" applyNumberFormat="1" applyFont="1" applyBorder="1" applyAlignment="1">
      <alignment horizontal="center" vertical="center"/>
    </xf>
    <xf numFmtId="49" fontId="19" fillId="0" borderId="14" xfId="0" applyNumberFormat="1" applyFont="1" applyBorder="1" applyAlignment="1">
      <alignment horizontal="center" vertical="center"/>
    </xf>
    <xf numFmtId="49" fontId="19" fillId="0" borderId="3" xfId="0" applyNumberFormat="1" applyFont="1" applyBorder="1" applyAlignment="1">
      <alignment horizontal="center" vertical="center" wrapText="1"/>
    </xf>
    <xf numFmtId="49" fontId="19" fillId="0" borderId="6" xfId="0" applyNumberFormat="1" applyFont="1" applyBorder="1" applyAlignment="1">
      <alignment horizontal="center" vertical="center" wrapText="1"/>
    </xf>
    <xf numFmtId="49" fontId="19" fillId="0" borderId="89" xfId="0" applyNumberFormat="1" applyFont="1" applyBorder="1" applyAlignment="1">
      <alignment horizontal="center" vertical="center" wrapText="1"/>
    </xf>
    <xf numFmtId="49" fontId="19" fillId="0" borderId="8" xfId="0" applyNumberFormat="1" applyFont="1" applyBorder="1" applyAlignment="1">
      <alignment horizontal="left" vertical="center"/>
    </xf>
    <xf numFmtId="49" fontId="19" fillId="0" borderId="9" xfId="0" applyNumberFormat="1" applyFont="1" applyBorder="1" applyAlignment="1">
      <alignment horizontal="left" vertical="center"/>
    </xf>
    <xf numFmtId="49" fontId="19" fillId="0" borderId="14" xfId="0" applyNumberFormat="1" applyFont="1" applyBorder="1" applyAlignment="1">
      <alignment horizontal="left" vertical="center"/>
    </xf>
    <xf numFmtId="49" fontId="19" fillId="0" borderId="12" xfId="0" applyNumberFormat="1" applyFont="1" applyBorder="1" applyAlignment="1">
      <alignment horizontal="center" vertical="center" wrapText="1"/>
    </xf>
    <xf numFmtId="49" fontId="19" fillId="0" borderId="53" xfId="0" applyNumberFormat="1" applyFont="1" applyBorder="1" applyAlignment="1">
      <alignment horizontal="center" vertical="center" wrapText="1"/>
    </xf>
    <xf numFmtId="49" fontId="19" fillId="0" borderId="61" xfId="0" applyNumberFormat="1" applyFont="1" applyBorder="1" applyAlignment="1">
      <alignment horizontal="center" vertical="center" wrapText="1"/>
    </xf>
    <xf numFmtId="49" fontId="19" fillId="0" borderId="13" xfId="0" applyNumberFormat="1" applyFont="1" applyBorder="1" applyAlignment="1">
      <alignment horizontal="center" vertical="center" wrapText="1"/>
    </xf>
    <xf numFmtId="49" fontId="19" fillId="0" borderId="43" xfId="0" applyNumberFormat="1" applyFont="1" applyBorder="1" applyAlignment="1">
      <alignment horizontal="left" vertical="center" wrapText="1"/>
    </xf>
    <xf numFmtId="49" fontId="19" fillId="0" borderId="0" xfId="0" applyNumberFormat="1" applyFont="1" applyBorder="1" applyAlignment="1">
      <alignment horizontal="left" vertical="center" wrapText="1"/>
    </xf>
    <xf numFmtId="49" fontId="19" fillId="0" borderId="90" xfId="0" applyNumberFormat="1" applyFont="1" applyBorder="1" applyAlignment="1">
      <alignment horizontal="left" vertical="center" wrapText="1"/>
    </xf>
    <xf numFmtId="49" fontId="19" fillId="0" borderId="91" xfId="0" applyNumberFormat="1" applyFont="1" applyBorder="1" applyAlignment="1">
      <alignment horizontal="left" vertical="center" wrapText="1"/>
    </xf>
    <xf numFmtId="49" fontId="19" fillId="0" borderId="3" xfId="0" applyNumberFormat="1" applyFont="1" applyBorder="1" applyAlignment="1">
      <alignment horizontal="center" vertical="center"/>
    </xf>
    <xf numFmtId="49" fontId="19" fillId="0" borderId="6" xfId="0" applyNumberFormat="1" applyFont="1" applyBorder="1" applyAlignment="1">
      <alignment horizontal="center" vertical="center"/>
    </xf>
    <xf numFmtId="49" fontId="19" fillId="0" borderId="89" xfId="0" applyNumberFormat="1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89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53" xfId="0" applyFont="1" applyBorder="1" applyAlignment="1">
      <alignment horizontal="center" vertical="center" wrapText="1"/>
    </xf>
    <xf numFmtId="0" fontId="19" fillId="0" borderId="61" xfId="0" applyFont="1" applyBorder="1" applyAlignment="1">
      <alignment horizontal="center" vertical="center" wrapText="1"/>
    </xf>
    <xf numFmtId="3" fontId="11" fillId="0" borderId="66" xfId="0" applyNumberFormat="1" applyFont="1" applyBorder="1" applyAlignment="1">
      <alignment horizontal="center"/>
    </xf>
    <xf numFmtId="3" fontId="11" fillId="0" borderId="42" xfId="0" applyNumberFormat="1" applyFont="1" applyBorder="1" applyAlignment="1">
      <alignment horizontal="center"/>
    </xf>
    <xf numFmtId="0" fontId="19" fillId="0" borderId="66" xfId="0" applyFont="1" applyBorder="1" applyAlignment="1">
      <alignment/>
    </xf>
    <xf numFmtId="0" fontId="19" fillId="0" borderId="42" xfId="0" applyFont="1" applyBorder="1" applyAlignment="1">
      <alignment/>
    </xf>
    <xf numFmtId="0" fontId="19" fillId="0" borderId="45" xfId="0" applyFont="1" applyBorder="1" applyAlignment="1">
      <alignment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80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8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66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0" fillId="0" borderId="41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vertical="center" wrapText="1"/>
    </xf>
    <xf numFmtId="0" fontId="0" fillId="0" borderId="67" xfId="0" applyFont="1" applyFill="1" applyBorder="1" applyAlignment="1">
      <alignment vertical="center" wrapText="1"/>
    </xf>
    <xf numFmtId="3" fontId="0" fillId="0" borderId="92" xfId="0" applyNumberFormat="1" applyFont="1" applyFill="1" applyBorder="1" applyAlignment="1">
      <alignment vertical="center"/>
    </xf>
    <xf numFmtId="3" fontId="0" fillId="0" borderId="68" xfId="0" applyNumberFormat="1" applyFont="1" applyFill="1" applyBorder="1" applyAlignment="1">
      <alignment vertic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80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1" xfId="0" applyFont="1" applyFill="1" applyBorder="1" applyAlignment="1">
      <alignment vertical="center"/>
    </xf>
    <xf numFmtId="0" fontId="0" fillId="0" borderId="67" xfId="0" applyFont="1" applyFill="1" applyBorder="1" applyAlignment="1">
      <alignment vertical="center"/>
    </xf>
    <xf numFmtId="3" fontId="0" fillId="0" borderId="93" xfId="0" applyNumberFormat="1" applyFont="1" applyFill="1" applyBorder="1" applyAlignment="1">
      <alignment vertical="center"/>
    </xf>
    <xf numFmtId="3" fontId="0" fillId="0" borderId="94" xfId="0" applyNumberFormat="1" applyFont="1" applyFill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3" fontId="2" fillId="0" borderId="21" xfId="0" applyNumberFormat="1" applyFont="1" applyFill="1" applyBorder="1" applyAlignment="1">
      <alignment horizontal="center"/>
    </xf>
    <xf numFmtId="3" fontId="0" fillId="0" borderId="21" xfId="0" applyNumberFormat="1" applyFill="1" applyBorder="1" applyAlignment="1">
      <alignment horizontal="center"/>
    </xf>
    <xf numFmtId="3" fontId="0" fillId="0" borderId="16" xfId="0" applyNumberFormat="1" applyFill="1" applyBorder="1" applyAlignment="1">
      <alignment horizontal="center"/>
    </xf>
    <xf numFmtId="0" fontId="2" fillId="0" borderId="4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3" fontId="2" fillId="0" borderId="42" xfId="0" applyNumberFormat="1" applyFont="1" applyBorder="1" applyAlignment="1">
      <alignment horizontal="center"/>
    </xf>
    <xf numFmtId="3" fontId="2" fillId="0" borderId="21" xfId="0" applyNumberFormat="1" applyFont="1" applyBorder="1" applyAlignment="1">
      <alignment horizontal="center"/>
    </xf>
    <xf numFmtId="3" fontId="0" fillId="0" borderId="82" xfId="0" applyNumberFormat="1" applyFill="1" applyBorder="1" applyAlignment="1">
      <alignment horizontal="center"/>
    </xf>
    <xf numFmtId="3" fontId="0" fillId="0" borderId="56" xfId="0" applyNumberForma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3" fontId="2" fillId="0" borderId="20" xfId="0" applyNumberFormat="1" applyFont="1" applyBorder="1" applyAlignment="1">
      <alignment horizontal="center"/>
    </xf>
    <xf numFmtId="0" fontId="5" fillId="0" borderId="16" xfId="0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0" fontId="1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/>
    </xf>
    <xf numFmtId="0" fontId="26" fillId="0" borderId="9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20" xfId="0" applyFont="1" applyBorder="1" applyAlignment="1">
      <alignment/>
    </xf>
    <xf numFmtId="3" fontId="5" fillId="0" borderId="16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80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0" fillId="0" borderId="67" xfId="0" applyBorder="1" applyAlignment="1">
      <alignment/>
    </xf>
    <xf numFmtId="0" fontId="5" fillId="0" borderId="16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5" fillId="0" borderId="79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4" fillId="0" borderId="95" xfId="0" applyFont="1" applyBorder="1" applyAlignment="1">
      <alignment/>
    </xf>
    <xf numFmtId="0" fontId="0" fillId="0" borderId="43" xfId="0" applyBorder="1" applyAlignment="1">
      <alignment/>
    </xf>
    <xf numFmtId="0" fontId="0" fillId="0" borderId="90" xfId="0" applyBorder="1" applyAlignment="1">
      <alignment/>
    </xf>
    <xf numFmtId="0" fontId="5" fillId="0" borderId="36" xfId="0" applyFont="1" applyBorder="1" applyAlignment="1">
      <alignment wrapText="1"/>
    </xf>
    <xf numFmtId="0" fontId="0" fillId="0" borderId="94" xfId="0" applyBorder="1" applyAlignment="1">
      <alignment wrapText="1"/>
    </xf>
    <xf numFmtId="3" fontId="5" fillId="0" borderId="12" xfId="0" applyNumberFormat="1" applyFont="1" applyBorder="1" applyAlignment="1">
      <alignment/>
    </xf>
    <xf numFmtId="0" fontId="0" fillId="0" borderId="61" xfId="0" applyBorder="1" applyAlignment="1">
      <alignment/>
    </xf>
    <xf numFmtId="49" fontId="26" fillId="0" borderId="82" xfId="0" applyNumberFormat="1" applyFont="1" applyBorder="1" applyAlignment="1">
      <alignment horizontal="center" vertical="center"/>
    </xf>
    <xf numFmtId="49" fontId="11" fillId="0" borderId="55" xfId="0" applyNumberFormat="1" applyFont="1" applyBorder="1" applyAlignment="1">
      <alignment horizontal="center" vertical="center"/>
    </xf>
    <xf numFmtId="49" fontId="11" fillId="0" borderId="56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zoomScale="75" zoomScaleNormal="75" workbookViewId="0" topLeftCell="A1">
      <selection activeCell="B24" sqref="B24"/>
    </sheetView>
  </sheetViews>
  <sheetFormatPr defaultColWidth="9.00390625" defaultRowHeight="12.75"/>
  <cols>
    <col min="2" max="2" width="74.625" style="0" customWidth="1"/>
    <col min="3" max="3" width="12.125" style="0" customWidth="1"/>
    <col min="4" max="4" width="12.375" style="0" customWidth="1"/>
    <col min="5" max="5" width="13.75390625" style="0" customWidth="1"/>
    <col min="6" max="6" width="12.625" style="0" customWidth="1"/>
    <col min="8" max="8" width="9.25390625" style="0" bestFit="1" customWidth="1"/>
  </cols>
  <sheetData>
    <row r="1" spans="1:6" ht="12.75">
      <c r="A1" s="10"/>
      <c r="B1" s="10"/>
      <c r="C1" s="10"/>
      <c r="D1" s="10"/>
      <c r="E1" s="10" t="s">
        <v>20</v>
      </c>
      <c r="F1" s="10"/>
    </row>
    <row r="2" spans="1:6" ht="12.75">
      <c r="A2" s="10"/>
      <c r="B2" s="10"/>
      <c r="C2" s="10"/>
      <c r="D2" s="10"/>
      <c r="E2" s="10" t="s">
        <v>311</v>
      </c>
      <c r="F2" s="10"/>
    </row>
    <row r="3" spans="1:6" ht="12.75">
      <c r="A3" s="10"/>
      <c r="C3" s="10"/>
      <c r="D3" s="10"/>
      <c r="E3" s="10" t="s">
        <v>21</v>
      </c>
      <c r="F3" s="10"/>
    </row>
    <row r="4" spans="1:6" ht="12.75">
      <c r="A4" s="10"/>
      <c r="B4" s="10"/>
      <c r="C4" s="10"/>
      <c r="D4" s="10"/>
      <c r="E4" s="11" t="s">
        <v>312</v>
      </c>
      <c r="F4" s="10"/>
    </row>
    <row r="5" spans="1:6" ht="12.75">
      <c r="A5" s="10"/>
      <c r="B5" s="10"/>
      <c r="C5" s="10"/>
      <c r="D5" s="10"/>
      <c r="E5" s="11"/>
      <c r="F5" s="10"/>
    </row>
    <row r="6" spans="1:6" ht="12.75">
      <c r="A6" s="10"/>
      <c r="B6" s="10"/>
      <c r="C6" s="10"/>
      <c r="D6" s="10"/>
      <c r="E6" s="11"/>
      <c r="F6" s="10"/>
    </row>
    <row r="7" spans="1:6" ht="15.75">
      <c r="A7" s="446" t="s">
        <v>24</v>
      </c>
      <c r="B7" s="447"/>
      <c r="C7" s="447"/>
      <c r="D7" s="447"/>
      <c r="E7" s="447"/>
      <c r="F7" s="447"/>
    </row>
    <row r="8" spans="1:6" ht="15.75">
      <c r="A8" s="446" t="s">
        <v>23</v>
      </c>
      <c r="B8" s="447"/>
      <c r="C8" s="447"/>
      <c r="D8" s="447"/>
      <c r="E8" s="447"/>
      <c r="F8" s="447"/>
    </row>
    <row r="9" spans="1:6" ht="18" customHeight="1" thickBot="1">
      <c r="A9" s="10"/>
      <c r="B9" s="10"/>
      <c r="C9" s="10"/>
      <c r="D9" s="10"/>
      <c r="E9" s="10"/>
      <c r="F9" s="10"/>
    </row>
    <row r="10" spans="1:6" ht="15" thickBot="1">
      <c r="A10" s="450" t="s">
        <v>0</v>
      </c>
      <c r="B10" s="450" t="s">
        <v>1</v>
      </c>
      <c r="C10" s="448" t="s">
        <v>2</v>
      </c>
      <c r="D10" s="449"/>
      <c r="E10" s="448" t="s">
        <v>3</v>
      </c>
      <c r="F10" s="449"/>
    </row>
    <row r="11" spans="1:6" ht="43.5" thickBot="1">
      <c r="A11" s="451"/>
      <c r="B11" s="451"/>
      <c r="C11" s="13" t="s">
        <v>4</v>
      </c>
      <c r="D11" s="14" t="s">
        <v>16</v>
      </c>
      <c r="E11" s="13" t="s">
        <v>4</v>
      </c>
      <c r="F11" s="14" t="s">
        <v>16</v>
      </c>
    </row>
    <row r="12" spans="1:6" ht="15">
      <c r="A12" s="40" t="s">
        <v>25</v>
      </c>
      <c r="B12" s="34" t="s">
        <v>5</v>
      </c>
      <c r="C12" s="15">
        <v>85000</v>
      </c>
      <c r="D12" s="16">
        <v>85000</v>
      </c>
      <c r="E12" s="17">
        <v>85000</v>
      </c>
      <c r="F12" s="18">
        <v>85000</v>
      </c>
    </row>
    <row r="13" spans="1:6" ht="15">
      <c r="A13" s="41" t="s">
        <v>26</v>
      </c>
      <c r="B13" s="36" t="s">
        <v>6</v>
      </c>
      <c r="C13" s="19">
        <v>18000</v>
      </c>
      <c r="D13" s="20">
        <v>0</v>
      </c>
      <c r="E13" s="21">
        <v>23000</v>
      </c>
      <c r="F13" s="22">
        <v>0</v>
      </c>
    </row>
    <row r="14" spans="1:6" ht="15">
      <c r="A14" s="35">
        <v>600</v>
      </c>
      <c r="B14" s="36" t="s">
        <v>7</v>
      </c>
      <c r="C14" s="19">
        <v>0</v>
      </c>
      <c r="D14" s="20">
        <v>0</v>
      </c>
      <c r="E14" s="21">
        <v>2000000</v>
      </c>
      <c r="F14" s="22">
        <v>0</v>
      </c>
    </row>
    <row r="15" spans="1:6" ht="15">
      <c r="A15" s="35">
        <v>630</v>
      </c>
      <c r="B15" s="36" t="s">
        <v>19</v>
      </c>
      <c r="C15" s="19">
        <v>0</v>
      </c>
      <c r="D15" s="20">
        <v>0</v>
      </c>
      <c r="E15" s="21">
        <v>23000</v>
      </c>
      <c r="F15" s="22">
        <v>0</v>
      </c>
    </row>
    <row r="16" spans="1:6" ht="15">
      <c r="A16" s="35">
        <v>700</v>
      </c>
      <c r="B16" s="36" t="s">
        <v>8</v>
      </c>
      <c r="C16" s="19">
        <v>1045000</v>
      </c>
      <c r="D16" s="20">
        <v>361000</v>
      </c>
      <c r="E16" s="21">
        <v>366000</v>
      </c>
      <c r="F16" s="22">
        <v>361000</v>
      </c>
    </row>
    <row r="17" spans="1:6" ht="15">
      <c r="A17" s="35">
        <v>710</v>
      </c>
      <c r="B17" s="36" t="s">
        <v>9</v>
      </c>
      <c r="C17" s="19">
        <v>294600</v>
      </c>
      <c r="D17" s="20">
        <v>294600</v>
      </c>
      <c r="E17" s="21">
        <v>389600</v>
      </c>
      <c r="F17" s="22">
        <v>294600</v>
      </c>
    </row>
    <row r="18" spans="1:6" ht="15">
      <c r="A18" s="35">
        <v>750</v>
      </c>
      <c r="B18" s="36" t="s">
        <v>30</v>
      </c>
      <c r="C18" s="19">
        <f>1402500-1116000</f>
        <v>286500</v>
      </c>
      <c r="D18" s="20">
        <v>113500</v>
      </c>
      <c r="E18" s="21">
        <f>4606405+250000</f>
        <v>4856405</v>
      </c>
      <c r="F18" s="22">
        <v>113500</v>
      </c>
    </row>
    <row r="19" spans="1:6" ht="15">
      <c r="A19" s="35">
        <v>754</v>
      </c>
      <c r="B19" s="36" t="s">
        <v>10</v>
      </c>
      <c r="C19" s="19">
        <v>2373610</v>
      </c>
      <c r="D19" s="20">
        <v>2373600</v>
      </c>
      <c r="E19" s="21">
        <v>2433600</v>
      </c>
      <c r="F19" s="22">
        <v>2373600</v>
      </c>
    </row>
    <row r="20" spans="1:6" ht="45">
      <c r="A20" s="35">
        <v>756</v>
      </c>
      <c r="B20" s="37" t="s">
        <v>27</v>
      </c>
      <c r="C20" s="19">
        <f>3189588+1116000</f>
        <v>4305588</v>
      </c>
      <c r="D20" s="20">
        <v>0</v>
      </c>
      <c r="E20" s="21">
        <v>0</v>
      </c>
      <c r="F20" s="22">
        <v>0</v>
      </c>
    </row>
    <row r="21" spans="1:6" ht="15">
      <c r="A21" s="35">
        <v>757</v>
      </c>
      <c r="B21" s="36" t="s">
        <v>11</v>
      </c>
      <c r="C21" s="19">
        <v>0</v>
      </c>
      <c r="D21" s="20">
        <v>0</v>
      </c>
      <c r="E21" s="21">
        <v>961400</v>
      </c>
      <c r="F21" s="22">
        <v>0</v>
      </c>
    </row>
    <row r="22" spans="1:6" ht="15">
      <c r="A22" s="35">
        <v>758</v>
      </c>
      <c r="B22" s="36" t="s">
        <v>12</v>
      </c>
      <c r="C22" s="19">
        <v>14464294</v>
      </c>
      <c r="D22" s="20">
        <v>0</v>
      </c>
      <c r="E22" s="21">
        <f>1008794+500000</f>
        <v>1508794</v>
      </c>
      <c r="F22" s="22">
        <v>0</v>
      </c>
    </row>
    <row r="23" spans="1:6" ht="15">
      <c r="A23" s="35">
        <v>801</v>
      </c>
      <c r="B23" s="36" t="s">
        <v>316</v>
      </c>
      <c r="C23" s="23">
        <v>110700</v>
      </c>
      <c r="D23" s="22">
        <v>0</v>
      </c>
      <c r="E23" s="21">
        <v>7660168</v>
      </c>
      <c r="F23" s="22">
        <v>0</v>
      </c>
    </row>
    <row r="24" spans="1:6" ht="15">
      <c r="A24" s="35">
        <v>851</v>
      </c>
      <c r="B24" s="36" t="s">
        <v>13</v>
      </c>
      <c r="C24" s="24">
        <v>1127000</v>
      </c>
      <c r="D24" s="25">
        <v>1127000</v>
      </c>
      <c r="E24" s="26">
        <f>1152000+1000000</f>
        <v>2152000</v>
      </c>
      <c r="F24" s="25">
        <v>1127000</v>
      </c>
    </row>
    <row r="25" spans="1:6" ht="15">
      <c r="A25" s="35">
        <v>852</v>
      </c>
      <c r="B25" s="36" t="s">
        <v>17</v>
      </c>
      <c r="C25" s="24">
        <v>2215000</v>
      </c>
      <c r="D25" s="25">
        <v>3000</v>
      </c>
      <c r="E25" s="26">
        <f>6066370-750000</f>
        <v>5316370</v>
      </c>
      <c r="F25" s="25">
        <v>3000</v>
      </c>
    </row>
    <row r="26" spans="1:6" ht="15">
      <c r="A26" s="35">
        <v>853</v>
      </c>
      <c r="B26" s="36" t="s">
        <v>18</v>
      </c>
      <c r="C26" s="19">
        <v>385700</v>
      </c>
      <c r="D26" s="20">
        <v>44000</v>
      </c>
      <c r="E26" s="21">
        <v>1094348</v>
      </c>
      <c r="F26" s="22">
        <v>44000</v>
      </c>
    </row>
    <row r="27" spans="1:6" ht="15">
      <c r="A27" s="38">
        <v>854</v>
      </c>
      <c r="B27" s="39" t="s">
        <v>14</v>
      </c>
      <c r="C27" s="19">
        <v>276100</v>
      </c>
      <c r="D27" s="20">
        <v>0</v>
      </c>
      <c r="E27" s="21">
        <v>2115157</v>
      </c>
      <c r="F27" s="22">
        <v>0</v>
      </c>
    </row>
    <row r="28" spans="1:6" ht="15">
      <c r="A28" s="38">
        <v>921</v>
      </c>
      <c r="B28" s="39" t="s">
        <v>28</v>
      </c>
      <c r="C28" s="19">
        <v>0</v>
      </c>
      <c r="D28" s="20">
        <v>0</v>
      </c>
      <c r="E28" s="21">
        <v>40000</v>
      </c>
      <c r="F28" s="22">
        <v>0</v>
      </c>
    </row>
    <row r="29" spans="1:6" ht="15.75" thickBot="1">
      <c r="A29" s="38">
        <v>926</v>
      </c>
      <c r="B29" s="39" t="s">
        <v>29</v>
      </c>
      <c r="C29" s="19">
        <v>0</v>
      </c>
      <c r="D29" s="20">
        <v>0</v>
      </c>
      <c r="E29" s="21">
        <v>50000</v>
      </c>
      <c r="F29" s="22">
        <v>0</v>
      </c>
    </row>
    <row r="30" spans="1:6" ht="15.75" thickBot="1">
      <c r="A30" s="27"/>
      <c r="B30" s="28" t="s">
        <v>15</v>
      </c>
      <c r="C30" s="401">
        <f>SUM(C12:C29)</f>
        <v>26987092</v>
      </c>
      <c r="D30" s="401">
        <f>SUM(D12:D29)</f>
        <v>4401700</v>
      </c>
      <c r="E30" s="401">
        <f>SUM(E12:E29)</f>
        <v>31074842</v>
      </c>
      <c r="F30" s="29">
        <f>SUM(F12:F29)</f>
        <v>4401700</v>
      </c>
    </row>
    <row r="31" spans="1:6" ht="15">
      <c r="A31" s="30"/>
      <c r="B31" s="31" t="s">
        <v>22</v>
      </c>
      <c r="C31" s="402">
        <f>C30-E30</f>
        <v>-4087750</v>
      </c>
      <c r="D31" s="32"/>
      <c r="E31" s="32"/>
      <c r="F31" s="33"/>
    </row>
    <row r="32" spans="1:6" ht="15">
      <c r="A32" s="8"/>
      <c r="B32" s="9"/>
      <c r="C32" s="6"/>
      <c r="D32" s="6"/>
      <c r="E32" s="6"/>
      <c r="F32" s="6"/>
    </row>
    <row r="33" spans="1:6" ht="15">
      <c r="A33" s="8"/>
      <c r="B33" s="9"/>
      <c r="C33" s="6"/>
      <c r="D33" s="6"/>
      <c r="E33" s="6"/>
      <c r="F33" s="6"/>
    </row>
    <row r="34" spans="1:6" ht="15">
      <c r="A34" s="8"/>
      <c r="B34" s="9"/>
      <c r="C34" s="6"/>
      <c r="D34" s="6"/>
      <c r="E34" s="6"/>
      <c r="F34" s="6"/>
    </row>
    <row r="35" spans="1:6" ht="15">
      <c r="A35" s="8"/>
      <c r="B35" s="9"/>
      <c r="C35" s="6"/>
      <c r="D35" s="6"/>
      <c r="E35" s="6"/>
      <c r="F35" s="6"/>
    </row>
    <row r="36" spans="1:6" ht="14.25">
      <c r="A36" s="3"/>
      <c r="B36" s="6"/>
      <c r="C36" s="6"/>
      <c r="D36" s="6"/>
      <c r="E36" s="6"/>
      <c r="F36" s="6"/>
    </row>
    <row r="37" spans="1:6" ht="14.25">
      <c r="A37" s="3"/>
      <c r="B37" s="6"/>
      <c r="C37" s="6"/>
      <c r="D37" s="6"/>
      <c r="E37" s="6"/>
      <c r="F37" s="6"/>
    </row>
    <row r="38" spans="1:6" ht="14.25">
      <c r="A38" s="3"/>
      <c r="B38" s="5"/>
      <c r="C38" s="6"/>
      <c r="D38" s="6"/>
      <c r="E38" s="6"/>
      <c r="F38" s="6"/>
    </row>
    <row r="39" spans="1:6" ht="14.25">
      <c r="A39" s="3"/>
      <c r="B39" s="5"/>
      <c r="C39" s="6"/>
      <c r="D39" s="6"/>
      <c r="E39" s="6"/>
      <c r="F39" s="6"/>
    </row>
    <row r="40" spans="1:6" ht="14.25">
      <c r="A40" s="3"/>
      <c r="B40" s="5"/>
      <c r="C40" s="6"/>
      <c r="D40" s="6"/>
      <c r="E40" s="6"/>
      <c r="F40" s="6"/>
    </row>
    <row r="41" spans="1:6" ht="14.25">
      <c r="A41" s="3"/>
      <c r="B41" s="5"/>
      <c r="C41" s="6"/>
      <c r="D41" s="6"/>
      <c r="E41" s="6"/>
      <c r="F41" s="6"/>
    </row>
    <row r="42" spans="1:6" ht="14.25">
      <c r="A42" s="3"/>
      <c r="B42" s="5"/>
      <c r="C42" s="6"/>
      <c r="D42" s="6"/>
      <c r="E42" s="6"/>
      <c r="F42" s="6"/>
    </row>
    <row r="43" spans="1:6" ht="14.25">
      <c r="A43" s="3"/>
      <c r="B43" s="12"/>
      <c r="C43" s="6"/>
      <c r="D43" s="6"/>
      <c r="E43" s="6"/>
      <c r="F43" s="6"/>
    </row>
    <row r="44" spans="1:6" ht="14.25">
      <c r="A44" s="3"/>
      <c r="B44" s="12"/>
      <c r="C44" s="6"/>
      <c r="D44" s="6"/>
      <c r="E44" s="6"/>
      <c r="F44" s="6"/>
    </row>
    <row r="45" spans="1:6" ht="14.25">
      <c r="A45" s="3"/>
      <c r="B45" s="5"/>
      <c r="C45" s="6"/>
      <c r="D45" s="6"/>
      <c r="E45" s="6"/>
      <c r="F45" s="6"/>
    </row>
    <row r="46" spans="1:6" ht="14.25">
      <c r="A46" s="3"/>
      <c r="B46" s="5"/>
      <c r="C46" s="6"/>
      <c r="D46" s="6"/>
      <c r="E46" s="6"/>
      <c r="F46" s="6"/>
    </row>
    <row r="47" spans="1:6" ht="14.25">
      <c r="A47" s="3"/>
      <c r="B47" s="5"/>
      <c r="C47" s="6"/>
      <c r="D47" s="6"/>
      <c r="E47" s="6"/>
      <c r="F47" s="6"/>
    </row>
    <row r="48" spans="1:6" ht="14.25">
      <c r="A48" s="3"/>
      <c r="B48" s="5"/>
      <c r="C48" s="6"/>
      <c r="D48" s="6"/>
      <c r="E48" s="6"/>
      <c r="F48" s="6"/>
    </row>
    <row r="49" spans="1:6" ht="14.25">
      <c r="A49" s="3"/>
      <c r="B49" s="5"/>
      <c r="C49" s="6"/>
      <c r="D49" s="6"/>
      <c r="E49" s="6"/>
      <c r="F49" s="6"/>
    </row>
    <row r="50" spans="1:6" ht="14.25">
      <c r="A50" s="3"/>
      <c r="B50" s="5"/>
      <c r="C50" s="6"/>
      <c r="D50" s="6"/>
      <c r="E50" s="6"/>
      <c r="F50" s="6"/>
    </row>
    <row r="51" spans="1:6" ht="15">
      <c r="A51" s="3"/>
      <c r="B51" s="5"/>
      <c r="C51" s="7"/>
      <c r="D51" s="6"/>
      <c r="E51" s="6"/>
      <c r="F51" s="6"/>
    </row>
    <row r="52" spans="1:6" ht="15">
      <c r="A52" s="5"/>
      <c r="B52" s="4"/>
      <c r="C52" s="7"/>
      <c r="D52" s="7"/>
      <c r="E52" s="7"/>
      <c r="F52" s="7"/>
    </row>
    <row r="53" spans="1:6" ht="12.75">
      <c r="A53" s="1"/>
      <c r="B53" s="1"/>
      <c r="C53" s="2"/>
      <c r="D53" s="2"/>
      <c r="E53" s="2"/>
      <c r="F53" s="2"/>
    </row>
  </sheetData>
  <mergeCells count="6">
    <mergeCell ref="A7:F7"/>
    <mergeCell ref="A8:F8"/>
    <mergeCell ref="E10:F10"/>
    <mergeCell ref="A10:A11"/>
    <mergeCell ref="B10:B11"/>
    <mergeCell ref="C10:D10"/>
  </mergeCells>
  <printOptions horizontalCentered="1"/>
  <pageMargins left="0.7874015748031497" right="0.7874015748031497" top="0.55" bottom="0.7874015748031497" header="1.11" footer="0.5118110236220472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2"/>
  <sheetViews>
    <sheetView zoomScale="75" zoomScaleNormal="75" workbookViewId="0" topLeftCell="A1">
      <selection activeCell="E2" sqref="E2:E4"/>
    </sheetView>
  </sheetViews>
  <sheetFormatPr defaultColWidth="9.00390625" defaultRowHeight="12.75"/>
  <cols>
    <col min="4" max="4" width="61.875" style="0" bestFit="1" customWidth="1"/>
  </cols>
  <sheetData>
    <row r="1" ht="12.75">
      <c r="E1" t="s">
        <v>269</v>
      </c>
    </row>
    <row r="2" ht="12.75">
      <c r="E2" s="44" t="s">
        <v>311</v>
      </c>
    </row>
    <row r="3" ht="12.75">
      <c r="E3" s="44" t="s">
        <v>21</v>
      </c>
    </row>
    <row r="4" ht="12.75">
      <c r="E4" s="43" t="s">
        <v>312</v>
      </c>
    </row>
    <row r="6" spans="1:6" ht="15.75">
      <c r="A6" s="572" t="s">
        <v>270</v>
      </c>
      <c r="B6" s="573"/>
      <c r="C6" s="573"/>
      <c r="D6" s="573"/>
      <c r="E6" s="573"/>
      <c r="F6" s="573"/>
    </row>
    <row r="7" spans="1:6" ht="15.75">
      <c r="A7" s="572" t="s">
        <v>271</v>
      </c>
      <c r="B7" s="573"/>
      <c r="C7" s="573"/>
      <c r="D7" s="573"/>
      <c r="E7" s="573"/>
      <c r="F7" s="573"/>
    </row>
    <row r="8" spans="1:6" ht="13.5" thickBot="1">
      <c r="A8" s="248"/>
      <c r="B8" s="248"/>
      <c r="C8" s="248"/>
      <c r="D8" s="248"/>
      <c r="E8" s="248"/>
      <c r="F8" s="248"/>
    </row>
    <row r="9" spans="1:6" ht="15" thickBot="1">
      <c r="A9" s="314" t="s">
        <v>239</v>
      </c>
      <c r="B9" s="314" t="s">
        <v>240</v>
      </c>
      <c r="C9" s="314" t="s">
        <v>39</v>
      </c>
      <c r="D9" s="314" t="s">
        <v>40</v>
      </c>
      <c r="E9" s="574" t="s">
        <v>272</v>
      </c>
      <c r="F9" s="575"/>
    </row>
    <row r="10" spans="1:6" ht="15">
      <c r="A10" s="315">
        <v>801</v>
      </c>
      <c r="B10" s="315"/>
      <c r="C10" s="315"/>
      <c r="D10" s="316" t="s">
        <v>273</v>
      </c>
      <c r="E10" s="576">
        <f>E11+E16+E19</f>
        <v>1612284</v>
      </c>
      <c r="F10" s="576"/>
    </row>
    <row r="11" spans="1:6" ht="15">
      <c r="A11" s="317"/>
      <c r="B11" s="318">
        <v>80120</v>
      </c>
      <c r="C11" s="318"/>
      <c r="D11" s="319" t="s">
        <v>97</v>
      </c>
      <c r="E11" s="569">
        <f>E12+E14</f>
        <v>158672</v>
      </c>
      <c r="F11" s="569"/>
    </row>
    <row r="12" spans="1:6" ht="12.75">
      <c r="A12" s="183"/>
      <c r="B12" s="183"/>
      <c r="C12" s="183"/>
      <c r="D12" s="380" t="s">
        <v>274</v>
      </c>
      <c r="E12" s="563">
        <f>E13</f>
        <v>71452</v>
      </c>
      <c r="F12" s="563"/>
    </row>
    <row r="13" spans="1:6" ht="12.75">
      <c r="A13" s="183"/>
      <c r="B13" s="183"/>
      <c r="C13" s="183">
        <v>2540</v>
      </c>
      <c r="D13" s="381" t="s">
        <v>275</v>
      </c>
      <c r="E13" s="563">
        <v>71452</v>
      </c>
      <c r="F13" s="563"/>
    </row>
    <row r="14" spans="1:6" ht="25.5">
      <c r="A14" s="183"/>
      <c r="B14" s="183"/>
      <c r="C14" s="183"/>
      <c r="D14" s="380" t="s">
        <v>276</v>
      </c>
      <c r="E14" s="570">
        <f>SUM(E15)</f>
        <v>87220</v>
      </c>
      <c r="F14" s="571"/>
    </row>
    <row r="15" spans="1:6" ht="12.75">
      <c r="A15" s="183"/>
      <c r="B15" s="183"/>
      <c r="C15" s="183">
        <v>2540</v>
      </c>
      <c r="D15" s="381" t="s">
        <v>275</v>
      </c>
      <c r="E15" s="570">
        <v>87220</v>
      </c>
      <c r="F15" s="571"/>
    </row>
    <row r="16" spans="1:6" ht="15">
      <c r="A16" s="382"/>
      <c r="B16" s="383">
        <v>80130</v>
      </c>
      <c r="C16" s="383"/>
      <c r="D16" s="384" t="s">
        <v>99</v>
      </c>
      <c r="E16" s="562">
        <f>E17</f>
        <v>104528</v>
      </c>
      <c r="F16" s="562"/>
    </row>
    <row r="17" spans="1:6" ht="12.75">
      <c r="A17" s="183"/>
      <c r="B17" s="183"/>
      <c r="C17" s="183"/>
      <c r="D17" s="381" t="s">
        <v>277</v>
      </c>
      <c r="E17" s="563">
        <f>E18</f>
        <v>104528</v>
      </c>
      <c r="F17" s="563"/>
    </row>
    <row r="18" spans="1:6" ht="12.75">
      <c r="A18" s="183"/>
      <c r="B18" s="183"/>
      <c r="C18" s="183">
        <v>2540</v>
      </c>
      <c r="D18" s="381" t="s">
        <v>275</v>
      </c>
      <c r="E18" s="563">
        <v>104528</v>
      </c>
      <c r="F18" s="563"/>
    </row>
    <row r="19" spans="1:6" ht="15">
      <c r="A19" s="382"/>
      <c r="B19" s="383">
        <v>80144</v>
      </c>
      <c r="C19" s="383"/>
      <c r="D19" s="384" t="s">
        <v>211</v>
      </c>
      <c r="E19" s="562">
        <f>E20</f>
        <v>1349084</v>
      </c>
      <c r="F19" s="562"/>
    </row>
    <row r="20" spans="1:6" ht="12.75">
      <c r="A20" s="183"/>
      <c r="B20" s="183"/>
      <c r="C20" s="183"/>
      <c r="D20" s="381" t="s">
        <v>278</v>
      </c>
      <c r="E20" s="563">
        <f>E21</f>
        <v>1349084</v>
      </c>
      <c r="F20" s="563"/>
    </row>
    <row r="21" spans="1:6" ht="13.5" thickBot="1">
      <c r="A21" s="374"/>
      <c r="B21" s="374"/>
      <c r="C21" s="374">
        <v>2540</v>
      </c>
      <c r="D21" s="381" t="s">
        <v>275</v>
      </c>
      <c r="E21" s="564">
        <v>1349084</v>
      </c>
      <c r="F21" s="564"/>
    </row>
    <row r="22" spans="1:6" ht="15.75" thickBot="1">
      <c r="A22" s="565" t="s">
        <v>15</v>
      </c>
      <c r="B22" s="566"/>
      <c r="C22" s="566"/>
      <c r="D22" s="567"/>
      <c r="E22" s="568">
        <f>E10</f>
        <v>1612284</v>
      </c>
      <c r="F22" s="568"/>
    </row>
  </sheetData>
  <mergeCells count="17">
    <mergeCell ref="A6:F6"/>
    <mergeCell ref="A7:F7"/>
    <mergeCell ref="E9:F9"/>
    <mergeCell ref="E10:F10"/>
    <mergeCell ref="E11:F11"/>
    <mergeCell ref="E16:F16"/>
    <mergeCell ref="E17:F17"/>
    <mergeCell ref="E18:F18"/>
    <mergeCell ref="E12:F12"/>
    <mergeCell ref="E13:F13"/>
    <mergeCell ref="E14:F14"/>
    <mergeCell ref="E15:F15"/>
    <mergeCell ref="E19:F19"/>
    <mergeCell ref="E20:F20"/>
    <mergeCell ref="E21:F21"/>
    <mergeCell ref="A22:D22"/>
    <mergeCell ref="E22:F22"/>
  </mergeCells>
  <printOptions horizontalCentered="1" verticalCentered="1"/>
  <pageMargins left="0.7874015748031497" right="0.7874015748031497" top="0.5511811023622047" bottom="0.7874015748031497" header="1.1023622047244095" footer="0.5118110236220472"/>
  <pageSetup horizontalDpi="600" verticalDpi="600" orientation="landscape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8"/>
  <sheetViews>
    <sheetView zoomScale="75" zoomScaleNormal="75" workbookViewId="0" topLeftCell="A1">
      <selection activeCell="A6" sqref="A6:I6"/>
    </sheetView>
  </sheetViews>
  <sheetFormatPr defaultColWidth="9.00390625" defaultRowHeight="12.75"/>
  <cols>
    <col min="1" max="1" width="9.25390625" style="0" bestFit="1" customWidth="1"/>
    <col min="2" max="2" width="10.125" style="0" bestFit="1" customWidth="1"/>
    <col min="3" max="3" width="6.375" style="0" bestFit="1" customWidth="1"/>
    <col min="4" max="4" width="43.00390625" style="0" bestFit="1" customWidth="1"/>
    <col min="5" max="5" width="9.75390625" style="0" bestFit="1" customWidth="1"/>
    <col min="6" max="6" width="9.25390625" style="0" bestFit="1" customWidth="1"/>
    <col min="7" max="7" width="10.125" style="0" bestFit="1" customWidth="1"/>
    <col min="8" max="8" width="45.75390625" style="0" bestFit="1" customWidth="1"/>
    <col min="9" max="9" width="9.75390625" style="0" bestFit="1" customWidth="1"/>
  </cols>
  <sheetData>
    <row r="1" spans="1:9" ht="15">
      <c r="A1" s="320"/>
      <c r="B1" s="320"/>
      <c r="C1" s="320"/>
      <c r="D1" s="320"/>
      <c r="E1" s="320"/>
      <c r="F1" s="320"/>
      <c r="G1" s="320"/>
      <c r="H1" s="397" t="s">
        <v>314</v>
      </c>
      <c r="I1" s="320"/>
    </row>
    <row r="2" spans="1:9" ht="15">
      <c r="A2" s="320"/>
      <c r="B2" s="320"/>
      <c r="C2" s="320"/>
      <c r="D2" s="320"/>
      <c r="E2" s="320"/>
      <c r="F2" s="320"/>
      <c r="G2" s="320"/>
      <c r="H2" s="396" t="s">
        <v>311</v>
      </c>
      <c r="I2" s="320"/>
    </row>
    <row r="3" spans="1:9" ht="15">
      <c r="A3" s="320"/>
      <c r="B3" s="320"/>
      <c r="C3" s="320"/>
      <c r="D3" s="320"/>
      <c r="E3" s="320"/>
      <c r="F3" s="320"/>
      <c r="G3" s="320"/>
      <c r="H3" s="396" t="s">
        <v>21</v>
      </c>
      <c r="I3" s="320"/>
    </row>
    <row r="4" spans="1:9" ht="15">
      <c r="A4" s="320"/>
      <c r="B4" s="320"/>
      <c r="C4" s="320"/>
      <c r="D4" s="320"/>
      <c r="E4" s="320"/>
      <c r="F4" s="320"/>
      <c r="G4" s="320"/>
      <c r="H4" s="396" t="s">
        <v>312</v>
      </c>
      <c r="I4" s="320"/>
    </row>
    <row r="5" spans="1:9" ht="15">
      <c r="A5" s="320"/>
      <c r="B5" s="320"/>
      <c r="C5" s="320"/>
      <c r="D5" s="320"/>
      <c r="E5" s="320"/>
      <c r="F5" s="320"/>
      <c r="G5" s="320"/>
      <c r="H5" s="320"/>
      <c r="I5" s="320"/>
    </row>
    <row r="6" spans="1:9" ht="21.75" customHeight="1">
      <c r="A6" s="572" t="s">
        <v>279</v>
      </c>
      <c r="B6" s="579"/>
      <c r="C6" s="579"/>
      <c r="D6" s="579"/>
      <c r="E6" s="579"/>
      <c r="F6" s="579"/>
      <c r="G6" s="579"/>
      <c r="H6" s="579"/>
      <c r="I6" s="579"/>
    </row>
    <row r="7" spans="1:9" ht="24.75" customHeight="1">
      <c r="A7" s="572" t="s">
        <v>280</v>
      </c>
      <c r="B7" s="579"/>
      <c r="C7" s="579"/>
      <c r="D7" s="579"/>
      <c r="E7" s="579"/>
      <c r="F7" s="579"/>
      <c r="G7" s="579"/>
      <c r="H7" s="579"/>
      <c r="I7" s="579"/>
    </row>
    <row r="8" spans="1:9" ht="15.75" customHeight="1" thickBot="1">
      <c r="A8" s="320"/>
      <c r="B8" s="320"/>
      <c r="C8" s="320"/>
      <c r="D8" s="320"/>
      <c r="E8" s="320"/>
      <c r="F8" s="320"/>
      <c r="G8" s="320"/>
      <c r="H8" s="320"/>
      <c r="I8" s="321" t="s">
        <v>36</v>
      </c>
    </row>
    <row r="9" spans="1:9" ht="18" customHeight="1" thickBot="1">
      <c r="A9" s="448" t="s">
        <v>254</v>
      </c>
      <c r="B9" s="580"/>
      <c r="C9" s="580"/>
      <c r="D9" s="580"/>
      <c r="E9" s="449"/>
      <c r="F9" s="448" t="s">
        <v>281</v>
      </c>
      <c r="G9" s="580"/>
      <c r="H9" s="580"/>
      <c r="I9" s="449"/>
    </row>
    <row r="10" spans="1:9" ht="18.75" customHeight="1" thickBot="1">
      <c r="A10" s="13" t="s">
        <v>37</v>
      </c>
      <c r="B10" s="13" t="s">
        <v>38</v>
      </c>
      <c r="C10" s="13" t="s">
        <v>39</v>
      </c>
      <c r="D10" s="322" t="s">
        <v>257</v>
      </c>
      <c r="E10" s="13" t="s">
        <v>258</v>
      </c>
      <c r="F10" s="13" t="s">
        <v>37</v>
      </c>
      <c r="G10" s="13" t="s">
        <v>38</v>
      </c>
      <c r="H10" s="322" t="s">
        <v>257</v>
      </c>
      <c r="I10" s="13" t="s">
        <v>258</v>
      </c>
    </row>
    <row r="11" spans="1:9" ht="15">
      <c r="A11" s="592">
        <v>710</v>
      </c>
      <c r="B11" s="595">
        <v>71030</v>
      </c>
      <c r="C11" s="265"/>
      <c r="D11" s="323" t="s">
        <v>9</v>
      </c>
      <c r="E11" s="324">
        <f>E12+E13+E15</f>
        <v>276500</v>
      </c>
      <c r="F11" s="598">
        <v>710</v>
      </c>
      <c r="G11" s="595">
        <v>71030</v>
      </c>
      <c r="H11" s="323" t="s">
        <v>9</v>
      </c>
      <c r="I11" s="325">
        <f>I12</f>
        <v>301300</v>
      </c>
    </row>
    <row r="12" spans="1:9" ht="30">
      <c r="A12" s="593"/>
      <c r="B12" s="596"/>
      <c r="C12" s="326" t="s">
        <v>74</v>
      </c>
      <c r="D12" s="327" t="s">
        <v>75</v>
      </c>
      <c r="E12" s="328">
        <v>276000</v>
      </c>
      <c r="F12" s="596"/>
      <c r="G12" s="596"/>
      <c r="H12" s="329" t="s">
        <v>282</v>
      </c>
      <c r="I12" s="330">
        <f>SUM(I13:I15)</f>
        <v>301300</v>
      </c>
    </row>
    <row r="13" spans="1:9" ht="15">
      <c r="A13" s="593"/>
      <c r="B13" s="596"/>
      <c r="C13" s="577" t="s">
        <v>81</v>
      </c>
      <c r="D13" s="584" t="s">
        <v>77</v>
      </c>
      <c r="E13" s="586">
        <v>500</v>
      </c>
      <c r="F13" s="596"/>
      <c r="G13" s="596"/>
      <c r="H13" s="331" t="s">
        <v>283</v>
      </c>
      <c r="I13" s="330">
        <v>246000</v>
      </c>
    </row>
    <row r="14" spans="1:9" ht="15">
      <c r="A14" s="593"/>
      <c r="B14" s="596"/>
      <c r="C14" s="578"/>
      <c r="D14" s="585"/>
      <c r="E14" s="587"/>
      <c r="F14" s="596"/>
      <c r="G14" s="596"/>
      <c r="H14" s="331" t="s">
        <v>284</v>
      </c>
      <c r="I14" s="330">
        <v>55300</v>
      </c>
    </row>
    <row r="15" spans="1:9" ht="15.75" thickBot="1">
      <c r="A15" s="594"/>
      <c r="B15" s="597"/>
      <c r="C15" s="332">
        <v>2960</v>
      </c>
      <c r="D15" s="333" t="s">
        <v>285</v>
      </c>
      <c r="E15" s="334">
        <v>0</v>
      </c>
      <c r="F15" s="599"/>
      <c r="G15" s="597"/>
      <c r="H15" s="331" t="s">
        <v>286</v>
      </c>
      <c r="I15" s="330">
        <v>0</v>
      </c>
    </row>
    <row r="16" spans="1:9" ht="15.75" thickBot="1">
      <c r="A16" s="588" t="s">
        <v>199</v>
      </c>
      <c r="B16" s="589"/>
      <c r="C16" s="589"/>
      <c r="D16" s="590"/>
      <c r="E16" s="335">
        <f>E11</f>
        <v>276500</v>
      </c>
      <c r="F16" s="591" t="s">
        <v>199</v>
      </c>
      <c r="G16" s="589"/>
      <c r="H16" s="590"/>
      <c r="I16" s="336">
        <f>I11</f>
        <v>301300</v>
      </c>
    </row>
    <row r="17" spans="1:9" ht="15.75" customHeight="1" thickBot="1">
      <c r="A17" s="337" t="s">
        <v>287</v>
      </c>
      <c r="B17" s="338"/>
      <c r="C17" s="338"/>
      <c r="D17" s="338"/>
      <c r="E17" s="339">
        <v>40751</v>
      </c>
      <c r="F17" s="338" t="s">
        <v>288</v>
      </c>
      <c r="G17" s="338"/>
      <c r="H17" s="340"/>
      <c r="I17" s="341">
        <v>15951</v>
      </c>
    </row>
    <row r="18" spans="1:9" ht="15.75" thickBot="1">
      <c r="A18" s="581" t="s">
        <v>15</v>
      </c>
      <c r="B18" s="582"/>
      <c r="C18" s="582"/>
      <c r="D18" s="583"/>
      <c r="E18" s="342">
        <f>E16+E17</f>
        <v>317251</v>
      </c>
      <c r="F18" s="581" t="s">
        <v>15</v>
      </c>
      <c r="G18" s="582"/>
      <c r="H18" s="583"/>
      <c r="I18" s="342">
        <f>I16+I17</f>
        <v>317251</v>
      </c>
    </row>
    <row r="21" ht="21.75" customHeight="1"/>
  </sheetData>
  <mergeCells count="15">
    <mergeCell ref="A18:D18"/>
    <mergeCell ref="F18:H18"/>
    <mergeCell ref="D13:D14"/>
    <mergeCell ref="E13:E14"/>
    <mergeCell ref="A16:D16"/>
    <mergeCell ref="F16:H16"/>
    <mergeCell ref="A11:A15"/>
    <mergeCell ref="B11:B15"/>
    <mergeCell ref="F11:F15"/>
    <mergeCell ref="G11:G15"/>
    <mergeCell ref="C13:C14"/>
    <mergeCell ref="A6:I6"/>
    <mergeCell ref="A7:I7"/>
    <mergeCell ref="A9:E9"/>
    <mergeCell ref="F9:I9"/>
  </mergeCells>
  <printOptions horizontalCentered="1" verticalCentered="1"/>
  <pageMargins left="0.7874015748031497" right="0.7874015748031497" top="0.5511811023622047" bottom="1.4" header="1.1023622047244095" footer="1.73"/>
  <pageSetup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7"/>
  <sheetViews>
    <sheetView zoomScale="75" zoomScaleNormal="75" workbookViewId="0" topLeftCell="A1">
      <selection activeCell="H5" sqref="H5"/>
    </sheetView>
  </sheetViews>
  <sheetFormatPr defaultColWidth="9.00390625" defaultRowHeight="12.75"/>
  <cols>
    <col min="2" max="2" width="10.00390625" style="0" bestFit="1" customWidth="1"/>
    <col min="4" max="4" width="43.00390625" style="0" bestFit="1" customWidth="1"/>
    <col min="7" max="7" width="10.00390625" style="0" bestFit="1" customWidth="1"/>
    <col min="8" max="8" width="45.75390625" style="0" bestFit="1" customWidth="1"/>
  </cols>
  <sheetData>
    <row r="1" spans="1:9" ht="15">
      <c r="A1" s="320"/>
      <c r="B1" s="320"/>
      <c r="C1" s="320"/>
      <c r="D1" s="320"/>
      <c r="E1" s="320"/>
      <c r="F1" s="320"/>
      <c r="G1" s="320"/>
      <c r="H1" s="397" t="s">
        <v>315</v>
      </c>
      <c r="I1" s="320"/>
    </row>
    <row r="2" spans="1:9" ht="15">
      <c r="A2" s="320"/>
      <c r="B2" s="320"/>
      <c r="C2" s="320"/>
      <c r="D2" s="320"/>
      <c r="E2" s="320"/>
      <c r="F2" s="320"/>
      <c r="G2" s="320"/>
      <c r="H2" s="396" t="s">
        <v>311</v>
      </c>
      <c r="I2" s="320"/>
    </row>
    <row r="3" spans="1:9" ht="15">
      <c r="A3" s="320"/>
      <c r="B3" s="320"/>
      <c r="C3" s="320"/>
      <c r="D3" s="320"/>
      <c r="E3" s="320"/>
      <c r="F3" s="320"/>
      <c r="G3" s="320"/>
      <c r="H3" s="396" t="s">
        <v>21</v>
      </c>
      <c r="I3" s="320"/>
    </row>
    <row r="4" spans="1:9" ht="15">
      <c r="A4" s="320"/>
      <c r="B4" s="320"/>
      <c r="C4" s="320"/>
      <c r="D4" s="320"/>
      <c r="E4" s="320"/>
      <c r="F4" s="320"/>
      <c r="G4" s="320"/>
      <c r="H4" s="396" t="s">
        <v>312</v>
      </c>
      <c r="I4" s="320"/>
    </row>
    <row r="5" spans="1:9" ht="15">
      <c r="A5" s="320"/>
      <c r="B5" s="320"/>
      <c r="C5" s="320"/>
      <c r="D5" s="320"/>
      <c r="E5" s="320"/>
      <c r="F5" s="320"/>
      <c r="G5" s="320"/>
      <c r="H5" s="320"/>
      <c r="I5" s="320"/>
    </row>
    <row r="6" spans="1:9" ht="18.75" customHeight="1">
      <c r="A6" s="572" t="s">
        <v>289</v>
      </c>
      <c r="B6" s="579"/>
      <c r="C6" s="579"/>
      <c r="D6" s="579"/>
      <c r="E6" s="579"/>
      <c r="F6" s="579"/>
      <c r="G6" s="579"/>
      <c r="H6" s="579"/>
      <c r="I6" s="579"/>
    </row>
    <row r="7" spans="1:9" ht="22.5" customHeight="1">
      <c r="A7" s="572" t="s">
        <v>290</v>
      </c>
      <c r="B7" s="579"/>
      <c r="C7" s="579"/>
      <c r="D7" s="579"/>
      <c r="E7" s="579"/>
      <c r="F7" s="579"/>
      <c r="G7" s="579"/>
      <c r="H7" s="579"/>
      <c r="I7" s="579"/>
    </row>
    <row r="8" spans="1:9" ht="15.75" customHeight="1" thickBot="1">
      <c r="A8" s="320"/>
      <c r="B8" s="320"/>
      <c r="C8" s="320"/>
      <c r="D8" s="320"/>
      <c r="E8" s="320"/>
      <c r="F8" s="320"/>
      <c r="G8" s="320"/>
      <c r="H8" s="320"/>
      <c r="I8" s="321" t="s">
        <v>36</v>
      </c>
    </row>
    <row r="9" spans="1:9" ht="18" customHeight="1" thickBot="1">
      <c r="A9" s="448" t="s">
        <v>254</v>
      </c>
      <c r="B9" s="580"/>
      <c r="C9" s="580"/>
      <c r="D9" s="580"/>
      <c r="E9" s="449"/>
      <c r="F9" s="448" t="s">
        <v>281</v>
      </c>
      <c r="G9" s="580"/>
      <c r="H9" s="580"/>
      <c r="I9" s="449"/>
    </row>
    <row r="10" spans="1:9" ht="18.75" customHeight="1" thickBot="1">
      <c r="A10" s="13" t="s">
        <v>37</v>
      </c>
      <c r="B10" s="13" t="s">
        <v>38</v>
      </c>
      <c r="C10" s="13" t="s">
        <v>39</v>
      </c>
      <c r="D10" s="343" t="s">
        <v>257</v>
      </c>
      <c r="E10" s="13" t="s">
        <v>258</v>
      </c>
      <c r="F10" s="42" t="s">
        <v>37</v>
      </c>
      <c r="G10" s="13" t="s">
        <v>38</v>
      </c>
      <c r="H10" s="343" t="s">
        <v>257</v>
      </c>
      <c r="I10" s="13" t="s">
        <v>258</v>
      </c>
    </row>
    <row r="11" spans="1:9" ht="30">
      <c r="A11" s="344">
        <v>900</v>
      </c>
      <c r="B11" s="265"/>
      <c r="C11" s="265"/>
      <c r="D11" s="345" t="s">
        <v>291</v>
      </c>
      <c r="E11" s="346">
        <f>SUM(E12:E13)</f>
        <v>37580</v>
      </c>
      <c r="F11" s="347">
        <v>900</v>
      </c>
      <c r="G11" s="265"/>
      <c r="H11" s="345" t="s">
        <v>291</v>
      </c>
      <c r="I11" s="346">
        <f>I12</f>
        <v>45500</v>
      </c>
    </row>
    <row r="12" spans="1:9" ht="15">
      <c r="A12" s="604"/>
      <c r="B12" s="600">
        <v>90011</v>
      </c>
      <c r="C12" s="348" t="s">
        <v>81</v>
      </c>
      <c r="D12" s="349" t="s">
        <v>77</v>
      </c>
      <c r="E12" s="350">
        <v>500</v>
      </c>
      <c r="F12" s="604"/>
      <c r="G12" s="600">
        <v>90011</v>
      </c>
      <c r="H12" s="351" t="s">
        <v>292</v>
      </c>
      <c r="I12" s="352">
        <f>SUM(I13:I14)</f>
        <v>45500</v>
      </c>
    </row>
    <row r="13" spans="1:9" ht="15">
      <c r="A13" s="605"/>
      <c r="B13" s="601"/>
      <c r="C13" s="602">
        <v>2960</v>
      </c>
      <c r="D13" s="607" t="s">
        <v>293</v>
      </c>
      <c r="E13" s="609">
        <v>37080</v>
      </c>
      <c r="F13" s="605"/>
      <c r="G13" s="601"/>
      <c r="H13" s="331" t="s">
        <v>283</v>
      </c>
      <c r="I13" s="353">
        <v>43500</v>
      </c>
    </row>
    <row r="14" spans="1:9" ht="15.75" thickBot="1">
      <c r="A14" s="606"/>
      <c r="B14" s="599"/>
      <c r="C14" s="603"/>
      <c r="D14" s="608"/>
      <c r="E14" s="610"/>
      <c r="F14" s="606"/>
      <c r="G14" s="599"/>
      <c r="H14" s="331" t="s">
        <v>286</v>
      </c>
      <c r="I14" s="354">
        <v>2000</v>
      </c>
    </row>
    <row r="15" spans="1:9" ht="15.75" thickBot="1">
      <c r="A15" s="588" t="s">
        <v>199</v>
      </c>
      <c r="B15" s="589"/>
      <c r="C15" s="589"/>
      <c r="D15" s="589"/>
      <c r="E15" s="355">
        <f>E11</f>
        <v>37580</v>
      </c>
      <c r="F15" s="589" t="s">
        <v>199</v>
      </c>
      <c r="G15" s="589"/>
      <c r="H15" s="589"/>
      <c r="I15" s="355">
        <f>I11</f>
        <v>45500</v>
      </c>
    </row>
    <row r="16" spans="1:9" ht="15.75" thickBot="1">
      <c r="A16" s="337" t="s">
        <v>287</v>
      </c>
      <c r="B16" s="338"/>
      <c r="C16" s="338"/>
      <c r="D16" s="338"/>
      <c r="E16" s="355">
        <v>8960</v>
      </c>
      <c r="F16" s="338" t="s">
        <v>288</v>
      </c>
      <c r="G16" s="338"/>
      <c r="H16" s="356"/>
      <c r="I16" s="355">
        <v>1040</v>
      </c>
    </row>
    <row r="17" spans="1:9" ht="15.75" customHeight="1" thickBot="1">
      <c r="A17" s="581" t="s">
        <v>15</v>
      </c>
      <c r="B17" s="582"/>
      <c r="C17" s="582"/>
      <c r="D17" s="582"/>
      <c r="E17" s="342">
        <f>E15+E16</f>
        <v>46540</v>
      </c>
      <c r="F17" s="582" t="s">
        <v>15</v>
      </c>
      <c r="G17" s="582"/>
      <c r="H17" s="582"/>
      <c r="I17" s="342">
        <f>I15+I16</f>
        <v>46540</v>
      </c>
    </row>
    <row r="21" ht="21.75" customHeight="1"/>
  </sheetData>
  <mergeCells count="15">
    <mergeCell ref="E13:E14"/>
    <mergeCell ref="A15:D15"/>
    <mergeCell ref="F15:H15"/>
    <mergeCell ref="A17:D17"/>
    <mergeCell ref="F17:H17"/>
    <mergeCell ref="G12:G14"/>
    <mergeCell ref="A6:I6"/>
    <mergeCell ref="A7:I7"/>
    <mergeCell ref="A9:E9"/>
    <mergeCell ref="F9:I9"/>
    <mergeCell ref="C13:C14"/>
    <mergeCell ref="A12:A14"/>
    <mergeCell ref="B12:B14"/>
    <mergeCell ref="F12:F14"/>
    <mergeCell ref="D13:D14"/>
  </mergeCells>
  <printOptions horizontalCentered="1" verticalCentered="1"/>
  <pageMargins left="0.7874015748031497" right="0.7874015748031497" top="0.5511811023622047" bottom="1.56" header="1.1023622047244095" footer="0.5118110236220472"/>
  <pageSetup horizontalDpi="600" verticalDpi="6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="75" zoomScaleNormal="75" workbookViewId="0" topLeftCell="A1">
      <selection activeCell="A22" sqref="A22:C22"/>
    </sheetView>
  </sheetViews>
  <sheetFormatPr defaultColWidth="9.00390625" defaultRowHeight="12.75"/>
  <cols>
    <col min="1" max="1" width="5.125" style="0" customWidth="1"/>
    <col min="2" max="2" width="59.75390625" style="0" bestFit="1" customWidth="1"/>
    <col min="3" max="3" width="13.75390625" style="0" bestFit="1" customWidth="1"/>
    <col min="4" max="4" width="25.375" style="0" bestFit="1" customWidth="1"/>
  </cols>
  <sheetData>
    <row r="1" spans="1:4" ht="15">
      <c r="A1" s="320"/>
      <c r="B1" s="320"/>
      <c r="D1" s="398" t="s">
        <v>294</v>
      </c>
    </row>
    <row r="2" spans="1:4" ht="15">
      <c r="A2" s="320"/>
      <c r="B2" s="320"/>
      <c r="D2" s="399" t="s">
        <v>311</v>
      </c>
    </row>
    <row r="3" spans="1:4" ht="15">
      <c r="A3" s="320"/>
      <c r="B3" s="320"/>
      <c r="D3" s="399" t="s">
        <v>21</v>
      </c>
    </row>
    <row r="4" spans="1:4" ht="15">
      <c r="A4" s="320"/>
      <c r="B4" s="320"/>
      <c r="D4" s="400" t="s">
        <v>312</v>
      </c>
    </row>
    <row r="5" spans="1:4" ht="15">
      <c r="A5" s="320"/>
      <c r="B5" s="320"/>
      <c r="C5" s="320"/>
      <c r="D5" s="320"/>
    </row>
    <row r="6" spans="1:4" ht="15">
      <c r="A6" s="320"/>
      <c r="B6" s="320"/>
      <c r="C6" s="320"/>
      <c r="D6" s="320"/>
    </row>
    <row r="7" spans="1:4" ht="15">
      <c r="A7" s="320"/>
      <c r="B7" s="320"/>
      <c r="C7" s="320"/>
      <c r="D7" s="320"/>
    </row>
    <row r="8" spans="1:4" ht="15.75" customHeight="1">
      <c r="A8" s="320"/>
      <c r="B8" s="320"/>
      <c r="C8" s="320"/>
      <c r="D8" s="320"/>
    </row>
    <row r="9" spans="1:5" ht="18" customHeight="1">
      <c r="A9" s="480" t="s">
        <v>295</v>
      </c>
      <c r="B9" s="469"/>
      <c r="C9" s="469"/>
      <c r="D9" s="469"/>
      <c r="E9" s="442"/>
    </row>
    <row r="10" spans="1:5" ht="18.75" customHeight="1">
      <c r="A10" s="480" t="s">
        <v>296</v>
      </c>
      <c r="B10" s="469"/>
      <c r="C10" s="469"/>
      <c r="D10" s="469"/>
      <c r="E10" s="442"/>
    </row>
    <row r="11" spans="1:5" ht="15">
      <c r="A11" s="480" t="s">
        <v>297</v>
      </c>
      <c r="B11" s="469"/>
      <c r="C11" s="469"/>
      <c r="D11" s="469"/>
      <c r="E11" s="442"/>
    </row>
    <row r="12" spans="1:4" ht="15">
      <c r="A12" s="320"/>
      <c r="B12" s="320"/>
      <c r="C12" s="320"/>
      <c r="D12" s="320"/>
    </row>
    <row r="13" spans="1:4" ht="15" customHeight="1">
      <c r="A13" s="320"/>
      <c r="B13" s="320"/>
      <c r="C13" s="320"/>
      <c r="D13" s="321" t="s">
        <v>36</v>
      </c>
    </row>
    <row r="14" spans="1:4" ht="28.5">
      <c r="A14" s="357" t="s">
        <v>298</v>
      </c>
      <c r="B14" s="357" t="s">
        <v>299</v>
      </c>
      <c r="C14" s="358" t="s">
        <v>300</v>
      </c>
      <c r="D14" s="357" t="s">
        <v>258</v>
      </c>
    </row>
    <row r="15" spans="1:4" ht="15">
      <c r="A15" s="359"/>
      <c r="B15" s="360" t="s">
        <v>301</v>
      </c>
      <c r="C15" s="361" t="s">
        <v>302</v>
      </c>
      <c r="D15" s="362">
        <f>D16+D17+D18</f>
        <v>5047750</v>
      </c>
    </row>
    <row r="16" spans="1:4" ht="30">
      <c r="A16" s="363">
        <v>1</v>
      </c>
      <c r="B16" s="364" t="s">
        <v>303</v>
      </c>
      <c r="C16" s="363">
        <v>951</v>
      </c>
      <c r="D16" s="328">
        <v>203900</v>
      </c>
    </row>
    <row r="17" spans="1:4" ht="15.75" customHeight="1">
      <c r="A17" s="363">
        <v>2</v>
      </c>
      <c r="B17" s="365" t="s">
        <v>304</v>
      </c>
      <c r="C17" s="363">
        <v>955</v>
      </c>
      <c r="D17" s="328">
        <v>253850</v>
      </c>
    </row>
    <row r="18" spans="1:4" ht="15">
      <c r="A18" s="363">
        <v>3</v>
      </c>
      <c r="B18" s="366" t="s">
        <v>318</v>
      </c>
      <c r="C18" s="385">
        <v>931</v>
      </c>
      <c r="D18" s="328">
        <v>4590000</v>
      </c>
    </row>
    <row r="19" spans="1:4" ht="15">
      <c r="A19" s="359"/>
      <c r="B19" s="360" t="s">
        <v>305</v>
      </c>
      <c r="C19" s="386" t="s">
        <v>302</v>
      </c>
      <c r="D19" s="362">
        <f>D20+D21</f>
        <v>960000</v>
      </c>
    </row>
    <row r="20" spans="1:4" ht="15">
      <c r="A20" s="363">
        <v>1</v>
      </c>
      <c r="B20" s="327" t="s">
        <v>306</v>
      </c>
      <c r="C20" s="385">
        <v>992</v>
      </c>
      <c r="D20" s="328">
        <v>350000</v>
      </c>
    </row>
    <row r="21" spans="1:4" ht="15">
      <c r="A21" s="363">
        <v>2</v>
      </c>
      <c r="B21" s="364" t="s">
        <v>319</v>
      </c>
      <c r="C21" s="385">
        <v>982</v>
      </c>
      <c r="D21" s="328">
        <v>610000</v>
      </c>
    </row>
    <row r="22" spans="1:4" ht="15">
      <c r="A22" s="611" t="s">
        <v>307</v>
      </c>
      <c r="B22" s="612"/>
      <c r="C22" s="613"/>
      <c r="D22" s="367">
        <f>SUM(D15-D19)</f>
        <v>4087750</v>
      </c>
    </row>
  </sheetData>
  <mergeCells count="4">
    <mergeCell ref="A10:E10"/>
    <mergeCell ref="A11:E11"/>
    <mergeCell ref="A22:C22"/>
    <mergeCell ref="A9:E9"/>
  </mergeCells>
  <printOptions horizontalCentered="1"/>
  <pageMargins left="0.7874015748031497" right="0.7874015748031497" top="0.55" bottom="0.7874015748031497" header="1.11" footer="0.5118110236220472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9"/>
  <sheetViews>
    <sheetView zoomScale="75" zoomScaleNormal="75" workbookViewId="0" topLeftCell="A13">
      <selection activeCell="A19" sqref="A19:M105"/>
    </sheetView>
  </sheetViews>
  <sheetFormatPr defaultColWidth="9.00390625" defaultRowHeight="12.75"/>
  <cols>
    <col min="2" max="2" width="9.25390625" style="0" bestFit="1" customWidth="1"/>
    <col min="4" max="4" width="49.875" style="0" bestFit="1" customWidth="1"/>
    <col min="5" max="5" width="12.00390625" style="0" bestFit="1" customWidth="1"/>
    <col min="6" max="6" width="12.125" style="0" customWidth="1"/>
    <col min="7" max="7" width="12.00390625" style="0" bestFit="1" customWidth="1"/>
    <col min="8" max="8" width="11.375" style="0" bestFit="1" customWidth="1"/>
    <col min="10" max="10" width="10.125" style="0" customWidth="1"/>
  </cols>
  <sheetData>
    <row r="1" spans="1:11" ht="12.75">
      <c r="A1" s="43"/>
      <c r="B1" s="44"/>
      <c r="C1" s="44"/>
      <c r="D1" s="44"/>
      <c r="E1" s="44"/>
      <c r="F1" s="44"/>
      <c r="G1" s="44"/>
      <c r="I1" s="44"/>
      <c r="J1" s="45"/>
      <c r="K1" s="44" t="s">
        <v>31</v>
      </c>
    </row>
    <row r="2" spans="1:11" ht="12.75">
      <c r="A2" s="44"/>
      <c r="B2" s="44"/>
      <c r="C2" s="44"/>
      <c r="D2" s="44"/>
      <c r="E2" s="44"/>
      <c r="F2" s="44"/>
      <c r="G2" s="44"/>
      <c r="I2" s="44"/>
      <c r="J2" s="45"/>
      <c r="K2" s="44" t="s">
        <v>311</v>
      </c>
    </row>
    <row r="3" spans="1:11" ht="12.75">
      <c r="A3" s="44"/>
      <c r="B3" s="44"/>
      <c r="C3" s="44"/>
      <c r="D3" s="44"/>
      <c r="E3" s="44"/>
      <c r="F3" s="44"/>
      <c r="G3" s="44"/>
      <c r="I3" s="44"/>
      <c r="J3" s="45"/>
      <c r="K3" s="44" t="s">
        <v>21</v>
      </c>
    </row>
    <row r="4" spans="1:11" ht="12.75">
      <c r="A4" s="44"/>
      <c r="B4" s="44"/>
      <c r="C4" s="44"/>
      <c r="D4" s="44"/>
      <c r="E4" s="44"/>
      <c r="F4" s="44"/>
      <c r="G4" s="43"/>
      <c r="I4" s="44"/>
      <c r="J4" s="45"/>
      <c r="K4" s="43" t="s">
        <v>312</v>
      </c>
    </row>
    <row r="5" spans="1:10" ht="12.75">
      <c r="A5" s="44"/>
      <c r="B5" s="44"/>
      <c r="C5" s="44"/>
      <c r="D5" s="44"/>
      <c r="E5" s="44"/>
      <c r="F5" s="44"/>
      <c r="G5" s="44"/>
      <c r="H5" s="44"/>
      <c r="I5" s="44"/>
      <c r="J5" s="45"/>
    </row>
    <row r="6" spans="1:13" ht="12.75">
      <c r="A6" s="445" t="s">
        <v>32</v>
      </c>
      <c r="B6" s="441"/>
      <c r="C6" s="441"/>
      <c r="D6" s="441"/>
      <c r="E6" s="441"/>
      <c r="F6" s="441"/>
      <c r="G6" s="441"/>
      <c r="H6" s="441"/>
      <c r="I6" s="441"/>
      <c r="J6" s="442"/>
      <c r="K6" s="442"/>
      <c r="L6" s="442"/>
      <c r="M6" s="442"/>
    </row>
    <row r="7" spans="1:13" ht="15.75" customHeight="1">
      <c r="A7" s="445" t="s">
        <v>33</v>
      </c>
      <c r="B7" s="441"/>
      <c r="C7" s="441"/>
      <c r="D7" s="441"/>
      <c r="E7" s="441"/>
      <c r="F7" s="441"/>
      <c r="G7" s="441"/>
      <c r="H7" s="441"/>
      <c r="I7" s="441"/>
      <c r="J7" s="442"/>
      <c r="K7" s="442"/>
      <c r="L7" s="442"/>
      <c r="M7" s="442"/>
    </row>
    <row r="8" spans="1:13" ht="15.75" customHeight="1">
      <c r="A8" s="445" t="s">
        <v>34</v>
      </c>
      <c r="B8" s="441"/>
      <c r="C8" s="441"/>
      <c r="D8" s="441"/>
      <c r="E8" s="441"/>
      <c r="F8" s="441"/>
      <c r="G8" s="441"/>
      <c r="H8" s="441"/>
      <c r="I8" s="441"/>
      <c r="J8" s="442"/>
      <c r="K8" s="442"/>
      <c r="L8" s="442"/>
      <c r="M8" s="442"/>
    </row>
    <row r="9" spans="1:13" ht="18" customHeight="1">
      <c r="A9" s="445" t="s">
        <v>35</v>
      </c>
      <c r="B9" s="441"/>
      <c r="C9" s="441"/>
      <c r="D9" s="441"/>
      <c r="E9" s="441"/>
      <c r="F9" s="441"/>
      <c r="G9" s="441"/>
      <c r="H9" s="441"/>
      <c r="I9" s="441"/>
      <c r="J9" s="442"/>
      <c r="K9" s="442"/>
      <c r="L9" s="442"/>
      <c r="M9" s="442"/>
    </row>
    <row r="10" spans="1:13" ht="12.75">
      <c r="A10" s="44"/>
      <c r="B10" s="44"/>
      <c r="C10" s="44"/>
      <c r="D10" s="44"/>
      <c r="E10" s="44"/>
      <c r="F10" s="44"/>
      <c r="G10" s="44"/>
      <c r="H10" s="44"/>
      <c r="I10" s="44"/>
      <c r="J10" s="45"/>
      <c r="M10" s="46" t="s">
        <v>36</v>
      </c>
    </row>
    <row r="11" spans="1:13" ht="12.75">
      <c r="A11" s="443" t="s">
        <v>37</v>
      </c>
      <c r="B11" s="443" t="s">
        <v>38</v>
      </c>
      <c r="C11" s="443" t="s">
        <v>39</v>
      </c>
      <c r="D11" s="443" t="s">
        <v>40</v>
      </c>
      <c r="E11" s="444" t="s">
        <v>15</v>
      </c>
      <c r="F11" s="456" t="s">
        <v>41</v>
      </c>
      <c r="G11" s="457"/>
      <c r="H11" s="457"/>
      <c r="I11" s="457"/>
      <c r="J11" s="457"/>
      <c r="K11" s="457"/>
      <c r="L11" s="457"/>
      <c r="M11" s="458"/>
    </row>
    <row r="12" spans="1:13" ht="12.75">
      <c r="A12" s="443"/>
      <c r="B12" s="443"/>
      <c r="C12" s="443"/>
      <c r="D12" s="443"/>
      <c r="E12" s="454"/>
      <c r="F12" s="459" t="s">
        <v>42</v>
      </c>
      <c r="G12" s="456" t="s">
        <v>43</v>
      </c>
      <c r="H12" s="461"/>
      <c r="I12" s="462"/>
      <c r="J12" s="459" t="s">
        <v>44</v>
      </c>
      <c r="K12" s="456" t="s">
        <v>43</v>
      </c>
      <c r="L12" s="461"/>
      <c r="M12" s="462"/>
    </row>
    <row r="13" spans="1:13" ht="135" customHeight="1">
      <c r="A13" s="444"/>
      <c r="B13" s="444"/>
      <c r="C13" s="444"/>
      <c r="D13" s="444"/>
      <c r="E13" s="455"/>
      <c r="F13" s="460"/>
      <c r="G13" s="48" t="s">
        <v>45</v>
      </c>
      <c r="H13" s="48" t="s">
        <v>46</v>
      </c>
      <c r="I13" s="48" t="s">
        <v>47</v>
      </c>
      <c r="J13" s="460"/>
      <c r="K13" s="48" t="s">
        <v>45</v>
      </c>
      <c r="L13" s="48" t="s">
        <v>46</v>
      </c>
      <c r="M13" s="48" t="s">
        <v>47</v>
      </c>
    </row>
    <row r="14" spans="1:13" ht="13.5" thickBot="1">
      <c r="A14" s="49">
        <v>1</v>
      </c>
      <c r="B14" s="49">
        <v>2</v>
      </c>
      <c r="C14" s="49">
        <v>3</v>
      </c>
      <c r="D14" s="49">
        <v>4</v>
      </c>
      <c r="E14" s="50">
        <v>5</v>
      </c>
      <c r="F14" s="50">
        <v>6</v>
      </c>
      <c r="G14" s="51">
        <v>7</v>
      </c>
      <c r="H14" s="51">
        <v>8</v>
      </c>
      <c r="I14" s="51">
        <v>9</v>
      </c>
      <c r="J14" s="50">
        <v>10</v>
      </c>
      <c r="K14" s="51">
        <v>11</v>
      </c>
      <c r="L14" s="51">
        <v>12</v>
      </c>
      <c r="M14" s="51">
        <v>13</v>
      </c>
    </row>
    <row r="15" spans="1:13" ht="14.25" thickBot="1" thickTop="1">
      <c r="A15" s="52" t="s">
        <v>48</v>
      </c>
      <c r="B15" s="52"/>
      <c r="C15" s="53"/>
      <c r="D15" s="53" t="s">
        <v>5</v>
      </c>
      <c r="E15" s="54">
        <f>SUM(E16)</f>
        <v>85000</v>
      </c>
      <c r="F15" s="54">
        <f aca="true" t="shared" si="0" ref="F15:M15">SUM(F16)</f>
        <v>85000</v>
      </c>
      <c r="G15" s="54">
        <f t="shared" si="0"/>
        <v>0</v>
      </c>
      <c r="H15" s="54">
        <f t="shared" si="0"/>
        <v>85000</v>
      </c>
      <c r="I15" s="54">
        <f t="shared" si="0"/>
        <v>0</v>
      </c>
      <c r="J15" s="54">
        <f t="shared" si="0"/>
        <v>0</v>
      </c>
      <c r="K15" s="54">
        <f t="shared" si="0"/>
        <v>0</v>
      </c>
      <c r="L15" s="54">
        <f t="shared" si="0"/>
        <v>0</v>
      </c>
      <c r="M15" s="54">
        <f t="shared" si="0"/>
        <v>0</v>
      </c>
    </row>
    <row r="16" spans="1:13" ht="24.75" customHeight="1" thickTop="1">
      <c r="A16" s="55"/>
      <c r="B16" s="55" t="s">
        <v>49</v>
      </c>
      <c r="C16" s="56"/>
      <c r="D16" s="57" t="s">
        <v>50</v>
      </c>
      <c r="E16" s="58">
        <f>SUM(J16+F16)</f>
        <v>85000</v>
      </c>
      <c r="F16" s="58">
        <f>SUM(G16:I16)</f>
        <v>85000</v>
      </c>
      <c r="G16" s="58">
        <f>G17</f>
        <v>0</v>
      </c>
      <c r="H16" s="58">
        <f>H17</f>
        <v>85000</v>
      </c>
      <c r="I16" s="58">
        <f>I17</f>
        <v>0</v>
      </c>
      <c r="J16" s="58">
        <f>SUM(K16:M16)</f>
        <v>0</v>
      </c>
      <c r="K16" s="58">
        <f>K17</f>
        <v>0</v>
      </c>
      <c r="L16" s="58">
        <f>L17</f>
        <v>0</v>
      </c>
      <c r="M16" s="58">
        <f>M17</f>
        <v>0</v>
      </c>
    </row>
    <row r="17" spans="1:13" ht="57" customHeight="1" thickBot="1">
      <c r="A17" s="59"/>
      <c r="B17" s="60"/>
      <c r="C17" s="60">
        <v>2110</v>
      </c>
      <c r="D17" s="61" t="s">
        <v>51</v>
      </c>
      <c r="E17" s="58">
        <f>SUM(J17+F17)</f>
        <v>85000</v>
      </c>
      <c r="F17" s="58">
        <f>SUM(G17:I17)</f>
        <v>85000</v>
      </c>
      <c r="G17" s="62">
        <v>0</v>
      </c>
      <c r="H17" s="62">
        <v>85000</v>
      </c>
      <c r="I17" s="62">
        <v>0</v>
      </c>
      <c r="J17" s="58">
        <f>SUM(K17:M17)</f>
        <v>0</v>
      </c>
      <c r="K17" s="62">
        <v>0</v>
      </c>
      <c r="L17" s="62"/>
      <c r="M17" s="62">
        <v>0</v>
      </c>
    </row>
    <row r="18" spans="1:13" ht="14.25" thickBot="1" thickTop="1">
      <c r="A18" s="63" t="s">
        <v>26</v>
      </c>
      <c r="B18" s="64"/>
      <c r="C18" s="65"/>
      <c r="D18" s="66" t="s">
        <v>52</v>
      </c>
      <c r="E18" s="54">
        <f>SUM(E19)</f>
        <v>18000</v>
      </c>
      <c r="F18" s="54">
        <f aca="true" t="shared" si="1" ref="F18:M18">SUM(F19)</f>
        <v>18000</v>
      </c>
      <c r="G18" s="54">
        <f t="shared" si="1"/>
        <v>18000</v>
      </c>
      <c r="H18" s="54">
        <f t="shared" si="1"/>
        <v>0</v>
      </c>
      <c r="I18" s="54">
        <f t="shared" si="1"/>
        <v>0</v>
      </c>
      <c r="J18" s="54">
        <f t="shared" si="1"/>
        <v>0</v>
      </c>
      <c r="K18" s="54">
        <f t="shared" si="1"/>
        <v>0</v>
      </c>
      <c r="L18" s="54">
        <f t="shared" si="1"/>
        <v>0</v>
      </c>
      <c r="M18" s="54">
        <f t="shared" si="1"/>
        <v>0</v>
      </c>
    </row>
    <row r="19" spans="1:13" ht="13.5" thickTop="1">
      <c r="A19" s="67"/>
      <c r="B19" s="67" t="s">
        <v>171</v>
      </c>
      <c r="C19" s="403"/>
      <c r="D19" s="57" t="s">
        <v>172</v>
      </c>
      <c r="E19" s="58">
        <f>SUM(J19+F19)</f>
        <v>18000</v>
      </c>
      <c r="F19" s="58">
        <f>SUM(G19:I19)</f>
        <v>18000</v>
      </c>
      <c r="G19" s="58">
        <f>G20</f>
        <v>18000</v>
      </c>
      <c r="H19" s="58">
        <f>H20</f>
        <v>0</v>
      </c>
      <c r="I19" s="58">
        <f>I20</f>
        <v>0</v>
      </c>
      <c r="J19" s="58">
        <f>SUM(K19:M19)</f>
        <v>0</v>
      </c>
      <c r="K19" s="58">
        <f>K20</f>
        <v>0</v>
      </c>
      <c r="L19" s="58">
        <f>L20</f>
        <v>0</v>
      </c>
      <c r="M19" s="58">
        <f>M20</f>
        <v>0</v>
      </c>
    </row>
    <row r="20" spans="1:13" ht="51.75" thickBot="1">
      <c r="A20" s="68"/>
      <c r="B20" s="68"/>
      <c r="C20" s="68" t="s">
        <v>55</v>
      </c>
      <c r="D20" s="69" t="s">
        <v>56</v>
      </c>
      <c r="E20" s="58">
        <f>SUM(J20+F20)</f>
        <v>18000</v>
      </c>
      <c r="F20" s="58">
        <f>SUM(G20:I20)</f>
        <v>18000</v>
      </c>
      <c r="G20" s="62">
        <v>18000</v>
      </c>
      <c r="H20" s="62"/>
      <c r="I20" s="62">
        <v>0</v>
      </c>
      <c r="J20" s="58">
        <f>SUM(K20:M20)</f>
        <v>0</v>
      </c>
      <c r="K20" s="62">
        <v>0</v>
      </c>
      <c r="L20" s="62"/>
      <c r="M20" s="62">
        <v>0</v>
      </c>
    </row>
    <row r="21" spans="1:13" ht="14.25" customHeight="1" thickBot="1" thickTop="1">
      <c r="A21" s="70">
        <v>700</v>
      </c>
      <c r="B21" s="70"/>
      <c r="C21" s="70"/>
      <c r="D21" s="66" t="s">
        <v>8</v>
      </c>
      <c r="E21" s="54">
        <f>SUM(E22)</f>
        <v>1045000</v>
      </c>
      <c r="F21" s="54">
        <f aca="true" t="shared" si="2" ref="F21:M21">SUM(F22)</f>
        <v>361000</v>
      </c>
      <c r="G21" s="54">
        <f t="shared" si="2"/>
        <v>0</v>
      </c>
      <c r="H21" s="54">
        <f t="shared" si="2"/>
        <v>361000</v>
      </c>
      <c r="I21" s="54">
        <f t="shared" si="2"/>
        <v>0</v>
      </c>
      <c r="J21" s="54">
        <f t="shared" si="2"/>
        <v>684000</v>
      </c>
      <c r="K21" s="54">
        <f t="shared" si="2"/>
        <v>684000</v>
      </c>
      <c r="L21" s="54">
        <f t="shared" si="2"/>
        <v>0</v>
      </c>
      <c r="M21" s="54">
        <f t="shared" si="2"/>
        <v>0</v>
      </c>
    </row>
    <row r="22" spans="1:13" ht="13.5" thickTop="1">
      <c r="A22" s="55"/>
      <c r="B22" s="55">
        <v>70005</v>
      </c>
      <c r="C22" s="55"/>
      <c r="D22" s="56" t="s">
        <v>57</v>
      </c>
      <c r="E22" s="58">
        <f>SUM(J22+F22)</f>
        <v>1045000</v>
      </c>
      <c r="F22" s="58">
        <f>SUM(G22:I22)</f>
        <v>361000</v>
      </c>
      <c r="G22" s="58">
        <f>G23+G24</f>
        <v>0</v>
      </c>
      <c r="H22" s="58">
        <f>H23+H24</f>
        <v>361000</v>
      </c>
      <c r="I22" s="58">
        <f>I24+I23</f>
        <v>0</v>
      </c>
      <c r="J22" s="58">
        <f>SUM(K22:M22)</f>
        <v>684000</v>
      </c>
      <c r="K22" s="58">
        <f>K23+K24</f>
        <v>684000</v>
      </c>
      <c r="L22" s="58">
        <f>L23+L24</f>
        <v>0</v>
      </c>
      <c r="M22" s="58">
        <f>M24+M23</f>
        <v>0</v>
      </c>
    </row>
    <row r="23" spans="1:13" ht="12.75">
      <c r="A23" s="71"/>
      <c r="B23" s="71"/>
      <c r="C23" s="71" t="s">
        <v>58</v>
      </c>
      <c r="D23" s="72" t="s">
        <v>59</v>
      </c>
      <c r="E23" s="58">
        <f>SUM(J23+F23)</f>
        <v>684000</v>
      </c>
      <c r="F23" s="58">
        <f>SUM(G23:I23)</f>
        <v>0</v>
      </c>
      <c r="G23" s="62"/>
      <c r="H23" s="62">
        <v>0</v>
      </c>
      <c r="I23" s="62">
        <v>0</v>
      </c>
      <c r="J23" s="58">
        <f>SUM(K23:M23)</f>
        <v>684000</v>
      </c>
      <c r="K23" s="62">
        <v>684000</v>
      </c>
      <c r="L23" s="62">
        <v>0</v>
      </c>
      <c r="M23" s="62">
        <v>0</v>
      </c>
    </row>
    <row r="24" spans="1:13" ht="54.75" customHeight="1" thickBot="1">
      <c r="A24" s="59"/>
      <c r="B24" s="59"/>
      <c r="C24" s="59">
        <v>2110</v>
      </c>
      <c r="D24" s="69" t="s">
        <v>51</v>
      </c>
      <c r="E24" s="58">
        <f>SUM(J24+F24)</f>
        <v>361000</v>
      </c>
      <c r="F24" s="58">
        <f>SUM(G24:I24)</f>
        <v>361000</v>
      </c>
      <c r="G24" s="73">
        <v>0</v>
      </c>
      <c r="H24" s="73">
        <v>361000</v>
      </c>
      <c r="I24" s="73">
        <v>0</v>
      </c>
      <c r="J24" s="58">
        <f>SUM(K24:M24)</f>
        <v>0</v>
      </c>
      <c r="K24" s="73">
        <v>0</v>
      </c>
      <c r="L24" s="73"/>
      <c r="M24" s="73">
        <v>0</v>
      </c>
    </row>
    <row r="25" spans="1:13" ht="14.25" thickBot="1" thickTop="1">
      <c r="A25" s="70">
        <v>710</v>
      </c>
      <c r="B25" s="70"/>
      <c r="C25" s="70"/>
      <c r="D25" s="66" t="s">
        <v>9</v>
      </c>
      <c r="E25" s="54">
        <f>SUM(E26+E28+E30)</f>
        <v>294600</v>
      </c>
      <c r="F25" s="54">
        <f aca="true" t="shared" si="3" ref="F25:L25">SUM(F26+F28+F30)</f>
        <v>294600</v>
      </c>
      <c r="G25" s="54">
        <f t="shared" si="3"/>
        <v>0</v>
      </c>
      <c r="H25" s="54">
        <f t="shared" si="3"/>
        <v>294600</v>
      </c>
      <c r="I25" s="54">
        <f t="shared" si="3"/>
        <v>0</v>
      </c>
      <c r="J25" s="54">
        <f t="shared" si="3"/>
        <v>0</v>
      </c>
      <c r="K25" s="54">
        <f t="shared" si="3"/>
        <v>0</v>
      </c>
      <c r="L25" s="54">
        <f t="shared" si="3"/>
        <v>0</v>
      </c>
      <c r="M25" s="54">
        <f>M26+M28+M30</f>
        <v>0</v>
      </c>
    </row>
    <row r="26" spans="1:13" ht="13.5" thickTop="1">
      <c r="A26" s="55"/>
      <c r="B26" s="55">
        <v>71013</v>
      </c>
      <c r="C26" s="55"/>
      <c r="D26" s="56" t="s">
        <v>60</v>
      </c>
      <c r="E26" s="58">
        <f aca="true" t="shared" si="4" ref="E26:E31">SUM(J26+F26)</f>
        <v>66000</v>
      </c>
      <c r="F26" s="58">
        <f aca="true" t="shared" si="5" ref="F26:F31">SUM(G26:I26)</f>
        <v>66000</v>
      </c>
      <c r="G26" s="58">
        <f>G27</f>
        <v>0</v>
      </c>
      <c r="H26" s="58">
        <f>H27</f>
        <v>66000</v>
      </c>
      <c r="I26" s="58">
        <f>I27</f>
        <v>0</v>
      </c>
      <c r="J26" s="58">
        <f>SUM(K26:M26)</f>
        <v>0</v>
      </c>
      <c r="K26" s="58">
        <f>K27</f>
        <v>0</v>
      </c>
      <c r="L26" s="58">
        <f>L27</f>
        <v>0</v>
      </c>
      <c r="M26" s="58">
        <f>M27</f>
        <v>0</v>
      </c>
    </row>
    <row r="27" spans="1:13" ht="56.25" customHeight="1">
      <c r="A27" s="71"/>
      <c r="B27" s="71"/>
      <c r="C27" s="71">
        <v>2110</v>
      </c>
      <c r="D27" s="69" t="s">
        <v>51</v>
      </c>
      <c r="E27" s="62">
        <f t="shared" si="4"/>
        <v>66000</v>
      </c>
      <c r="F27" s="62">
        <f t="shared" si="5"/>
        <v>66000</v>
      </c>
      <c r="G27" s="62">
        <v>0</v>
      </c>
      <c r="H27" s="62">
        <v>66000</v>
      </c>
      <c r="I27" s="62">
        <v>0</v>
      </c>
      <c r="J27" s="62">
        <f>SUM(K27:M27)</f>
        <v>0</v>
      </c>
      <c r="K27" s="62">
        <v>0</v>
      </c>
      <c r="L27" s="62"/>
      <c r="M27" s="62">
        <v>0</v>
      </c>
    </row>
    <row r="28" spans="1:13" ht="12.75">
      <c r="A28" s="71"/>
      <c r="B28" s="71">
        <v>71014</v>
      </c>
      <c r="C28" s="71"/>
      <c r="D28" s="72" t="s">
        <v>61</v>
      </c>
      <c r="E28" s="58">
        <f t="shared" si="4"/>
        <v>18000</v>
      </c>
      <c r="F28" s="58">
        <f t="shared" si="5"/>
        <v>18000</v>
      </c>
      <c r="G28" s="62">
        <f>G29</f>
        <v>0</v>
      </c>
      <c r="H28" s="62">
        <f>H29</f>
        <v>18000</v>
      </c>
      <c r="I28" s="62">
        <f>I29</f>
        <v>0</v>
      </c>
      <c r="J28" s="58">
        <f>SUM(K28:M28)</f>
        <v>0</v>
      </c>
      <c r="K28" s="62">
        <f>K29</f>
        <v>0</v>
      </c>
      <c r="L28" s="62">
        <f>L29</f>
        <v>0</v>
      </c>
      <c r="M28" s="62">
        <f>M29</f>
        <v>0</v>
      </c>
    </row>
    <row r="29" spans="1:13" ht="57" customHeight="1">
      <c r="A29" s="71"/>
      <c r="B29" s="71"/>
      <c r="C29" s="71">
        <v>2110</v>
      </c>
      <c r="D29" s="69" t="s">
        <v>51</v>
      </c>
      <c r="E29" s="58">
        <f t="shared" si="4"/>
        <v>18000</v>
      </c>
      <c r="F29" s="58">
        <f t="shared" si="5"/>
        <v>18000</v>
      </c>
      <c r="G29" s="62">
        <v>0</v>
      </c>
      <c r="H29" s="62">
        <v>18000</v>
      </c>
      <c r="I29" s="62">
        <v>0</v>
      </c>
      <c r="J29" s="58">
        <f>SUM(K29:M29)</f>
        <v>0</v>
      </c>
      <c r="K29" s="62">
        <v>0</v>
      </c>
      <c r="L29" s="62"/>
      <c r="M29" s="62">
        <v>0</v>
      </c>
    </row>
    <row r="30" spans="1:13" ht="12.75">
      <c r="A30" s="71"/>
      <c r="B30" s="71">
        <v>71015</v>
      </c>
      <c r="C30" s="71"/>
      <c r="D30" s="72" t="s">
        <v>62</v>
      </c>
      <c r="E30" s="58">
        <f t="shared" si="4"/>
        <v>210600</v>
      </c>
      <c r="F30" s="58">
        <f t="shared" si="5"/>
        <v>210600</v>
      </c>
      <c r="G30" s="62">
        <f aca="true" t="shared" si="6" ref="G30:M30">G31</f>
        <v>0</v>
      </c>
      <c r="H30" s="62">
        <f t="shared" si="6"/>
        <v>210600</v>
      </c>
      <c r="I30" s="62">
        <f t="shared" si="6"/>
        <v>0</v>
      </c>
      <c r="J30" s="62">
        <f t="shared" si="6"/>
        <v>0</v>
      </c>
      <c r="K30" s="62">
        <f t="shared" si="6"/>
        <v>0</v>
      </c>
      <c r="L30" s="62">
        <f t="shared" si="6"/>
        <v>0</v>
      </c>
      <c r="M30" s="62">
        <f t="shared" si="6"/>
        <v>0</v>
      </c>
    </row>
    <row r="31" spans="1:13" ht="54.75" customHeight="1" thickBot="1">
      <c r="A31" s="71"/>
      <c r="B31" s="71"/>
      <c r="C31" s="71">
        <v>2110</v>
      </c>
      <c r="D31" s="69" t="s">
        <v>51</v>
      </c>
      <c r="E31" s="58">
        <f t="shared" si="4"/>
        <v>210600</v>
      </c>
      <c r="F31" s="58">
        <f t="shared" si="5"/>
        <v>210600</v>
      </c>
      <c r="G31" s="62">
        <v>0</v>
      </c>
      <c r="H31" s="62">
        <v>210600</v>
      </c>
      <c r="I31" s="62">
        <v>0</v>
      </c>
      <c r="J31" s="58">
        <f>SUM(K31:M31)</f>
        <v>0</v>
      </c>
      <c r="K31" s="62">
        <v>0</v>
      </c>
      <c r="L31" s="62"/>
      <c r="M31" s="62">
        <v>0</v>
      </c>
    </row>
    <row r="32" spans="1:13" ht="14.25" thickBot="1" thickTop="1">
      <c r="A32" s="70">
        <v>750</v>
      </c>
      <c r="B32" s="70"/>
      <c r="C32" s="70"/>
      <c r="D32" s="66" t="s">
        <v>63</v>
      </c>
      <c r="E32" s="54">
        <f>SUM(E33+E35+E41)</f>
        <v>286500</v>
      </c>
      <c r="F32" s="54">
        <f aca="true" t="shared" si="7" ref="F32:M32">SUM(F33+F35+F41)</f>
        <v>286500</v>
      </c>
      <c r="G32" s="54">
        <f t="shared" si="7"/>
        <v>172000</v>
      </c>
      <c r="H32" s="54">
        <f t="shared" si="7"/>
        <v>113500</v>
      </c>
      <c r="I32" s="54">
        <f t="shared" si="7"/>
        <v>1000</v>
      </c>
      <c r="J32" s="54">
        <f t="shared" si="7"/>
        <v>0</v>
      </c>
      <c r="K32" s="54">
        <f t="shared" si="7"/>
        <v>0</v>
      </c>
      <c r="L32" s="54">
        <f t="shared" si="7"/>
        <v>0</v>
      </c>
      <c r="M32" s="54">
        <f t="shared" si="7"/>
        <v>0</v>
      </c>
    </row>
    <row r="33" spans="1:13" ht="13.5" thickTop="1">
      <c r="A33" s="55"/>
      <c r="B33" s="55">
        <v>75011</v>
      </c>
      <c r="C33" s="55"/>
      <c r="D33" s="56" t="s">
        <v>64</v>
      </c>
      <c r="E33" s="58">
        <f>SUM(J33+F33)</f>
        <v>99500</v>
      </c>
      <c r="F33" s="58">
        <f>SUM(G33:I33)</f>
        <v>99500</v>
      </c>
      <c r="G33" s="58">
        <f>G34</f>
        <v>0</v>
      </c>
      <c r="H33" s="58">
        <f aca="true" t="shared" si="8" ref="H33:M33">H34</f>
        <v>99500</v>
      </c>
      <c r="I33" s="58">
        <f t="shared" si="8"/>
        <v>0</v>
      </c>
      <c r="J33" s="58">
        <f>SUM(K33:M33)</f>
        <v>0</v>
      </c>
      <c r="K33" s="58">
        <f t="shared" si="8"/>
        <v>0</v>
      </c>
      <c r="L33" s="58">
        <f t="shared" si="8"/>
        <v>0</v>
      </c>
      <c r="M33" s="58">
        <f t="shared" si="8"/>
        <v>0</v>
      </c>
    </row>
    <row r="34" spans="1:13" ht="54" customHeight="1">
      <c r="A34" s="71"/>
      <c r="B34" s="71"/>
      <c r="C34" s="71">
        <v>2110</v>
      </c>
      <c r="D34" s="69" t="s">
        <v>51</v>
      </c>
      <c r="E34" s="58">
        <f aca="true" t="shared" si="9" ref="E34:E43">SUM(J34+F34)</f>
        <v>99500</v>
      </c>
      <c r="F34" s="58">
        <f aca="true" t="shared" si="10" ref="F34:F43">SUM(G34:I34)</f>
        <v>99500</v>
      </c>
      <c r="G34" s="62">
        <v>0</v>
      </c>
      <c r="H34" s="62">
        <v>99500</v>
      </c>
      <c r="I34" s="62">
        <v>0</v>
      </c>
      <c r="J34" s="58">
        <f>SUM(K34:M34)</f>
        <v>0</v>
      </c>
      <c r="K34" s="62">
        <v>0</v>
      </c>
      <c r="L34" s="62"/>
      <c r="M34" s="62">
        <v>0</v>
      </c>
    </row>
    <row r="35" spans="1:13" ht="12.75">
      <c r="A35" s="71"/>
      <c r="B35" s="71">
        <v>75020</v>
      </c>
      <c r="C35" s="71"/>
      <c r="D35" s="72" t="s">
        <v>65</v>
      </c>
      <c r="E35" s="58">
        <f t="shared" si="9"/>
        <v>172000</v>
      </c>
      <c r="F35" s="58">
        <f>SUM(G35:I35)</f>
        <v>172000</v>
      </c>
      <c r="G35" s="62">
        <f>SUM(G36:G40)</f>
        <v>172000</v>
      </c>
      <c r="H35" s="62">
        <f>SUM(H36:H40)</f>
        <v>0</v>
      </c>
      <c r="I35" s="62">
        <f>SUM(I36:I40)</f>
        <v>0</v>
      </c>
      <c r="J35" s="58">
        <f aca="true" t="shared" si="11" ref="J35:J43">SUM(K35:M35)</f>
        <v>0</v>
      </c>
      <c r="K35" s="62">
        <f>SUM(K36:K40)</f>
        <v>0</v>
      </c>
      <c r="L35" s="62">
        <f>SUM(L36:L40)</f>
        <v>0</v>
      </c>
      <c r="M35" s="62">
        <f>SUM(M36:M40)</f>
        <v>0</v>
      </c>
    </row>
    <row r="36" spans="1:13" ht="25.5">
      <c r="A36" s="71"/>
      <c r="B36" s="71"/>
      <c r="C36" s="68" t="s">
        <v>68</v>
      </c>
      <c r="D36" s="74" t="s">
        <v>69</v>
      </c>
      <c r="E36" s="58">
        <f t="shared" si="9"/>
        <v>70000</v>
      </c>
      <c r="F36" s="58">
        <f t="shared" si="10"/>
        <v>70000</v>
      </c>
      <c r="G36" s="62">
        <v>70000</v>
      </c>
      <c r="H36" s="62"/>
      <c r="I36" s="62"/>
      <c r="J36" s="58"/>
      <c r="K36" s="62"/>
      <c r="L36" s="62"/>
      <c r="M36" s="62"/>
    </row>
    <row r="37" spans="1:13" ht="12.75">
      <c r="A37" s="71"/>
      <c r="B37" s="71"/>
      <c r="C37" s="68" t="s">
        <v>70</v>
      </c>
      <c r="D37" s="74" t="s">
        <v>71</v>
      </c>
      <c r="E37" s="58">
        <f t="shared" si="9"/>
        <v>4000</v>
      </c>
      <c r="F37" s="58">
        <f t="shared" si="10"/>
        <v>4000</v>
      </c>
      <c r="G37" s="62">
        <v>4000</v>
      </c>
      <c r="H37" s="62"/>
      <c r="I37" s="62"/>
      <c r="J37" s="58"/>
      <c r="K37" s="62"/>
      <c r="L37" s="62"/>
      <c r="M37" s="62"/>
    </row>
    <row r="38" spans="1:13" ht="65.25" customHeight="1">
      <c r="A38" s="71"/>
      <c r="B38" s="71"/>
      <c r="C38" s="68" t="s">
        <v>72</v>
      </c>
      <c r="D38" s="74" t="s">
        <v>73</v>
      </c>
      <c r="E38" s="58">
        <f t="shared" si="9"/>
        <v>38000</v>
      </c>
      <c r="F38" s="58">
        <f t="shared" si="10"/>
        <v>38000</v>
      </c>
      <c r="G38" s="62">
        <v>38000</v>
      </c>
      <c r="H38" s="62">
        <v>0</v>
      </c>
      <c r="I38" s="62">
        <v>0</v>
      </c>
      <c r="J38" s="58">
        <f t="shared" si="11"/>
        <v>0</v>
      </c>
      <c r="K38" s="62"/>
      <c r="L38" s="62">
        <v>0</v>
      </c>
      <c r="M38" s="62">
        <v>0</v>
      </c>
    </row>
    <row r="39" spans="1:13" ht="12.75">
      <c r="A39" s="71"/>
      <c r="B39" s="71"/>
      <c r="C39" s="68" t="s">
        <v>74</v>
      </c>
      <c r="D39" s="74" t="s">
        <v>75</v>
      </c>
      <c r="E39" s="58">
        <f t="shared" si="9"/>
        <v>45000</v>
      </c>
      <c r="F39" s="58">
        <f t="shared" si="10"/>
        <v>45000</v>
      </c>
      <c r="G39" s="62">
        <v>45000</v>
      </c>
      <c r="H39" s="62">
        <v>0</v>
      </c>
      <c r="I39" s="62">
        <v>0</v>
      </c>
      <c r="J39" s="58">
        <f t="shared" si="11"/>
        <v>0</v>
      </c>
      <c r="K39" s="62"/>
      <c r="L39" s="62">
        <v>0</v>
      </c>
      <c r="M39" s="62">
        <v>0</v>
      </c>
    </row>
    <row r="40" spans="1:13" ht="12.75">
      <c r="A40" s="71"/>
      <c r="B40" s="71"/>
      <c r="C40" s="68" t="s">
        <v>76</v>
      </c>
      <c r="D40" s="74" t="s">
        <v>77</v>
      </c>
      <c r="E40" s="58">
        <f t="shared" si="9"/>
        <v>15000</v>
      </c>
      <c r="F40" s="58">
        <f t="shared" si="10"/>
        <v>15000</v>
      </c>
      <c r="G40" s="62">
        <v>15000</v>
      </c>
      <c r="H40" s="62"/>
      <c r="I40" s="62"/>
      <c r="J40" s="58"/>
      <c r="K40" s="62"/>
      <c r="L40" s="62"/>
      <c r="M40" s="62"/>
    </row>
    <row r="41" spans="1:13" ht="12.75">
      <c r="A41" s="71"/>
      <c r="B41" s="71">
        <v>75045</v>
      </c>
      <c r="C41" s="71"/>
      <c r="D41" s="72" t="s">
        <v>78</v>
      </c>
      <c r="E41" s="58">
        <f t="shared" si="9"/>
        <v>15000</v>
      </c>
      <c r="F41" s="58">
        <f t="shared" si="10"/>
        <v>15000</v>
      </c>
      <c r="G41" s="62">
        <f>SUM(G42:G43)</f>
        <v>0</v>
      </c>
      <c r="H41" s="62">
        <f>SUM(H42:H43)</f>
        <v>14000</v>
      </c>
      <c r="I41" s="62">
        <f>SUM(I42:I43)</f>
        <v>1000</v>
      </c>
      <c r="J41" s="58">
        <f t="shared" si="11"/>
        <v>0</v>
      </c>
      <c r="K41" s="62">
        <f>SUM(K42:K43)</f>
        <v>0</v>
      </c>
      <c r="L41" s="62">
        <f>SUM(L42:L43)</f>
        <v>0</v>
      </c>
      <c r="M41" s="62">
        <f>SUM(M42:M43)</f>
        <v>0</v>
      </c>
    </row>
    <row r="42" spans="1:13" ht="54" customHeight="1">
      <c r="A42" s="71"/>
      <c r="B42" s="71"/>
      <c r="C42" s="71">
        <v>2110</v>
      </c>
      <c r="D42" s="69" t="s">
        <v>51</v>
      </c>
      <c r="E42" s="58">
        <f t="shared" si="9"/>
        <v>14000</v>
      </c>
      <c r="F42" s="58">
        <f t="shared" si="10"/>
        <v>14000</v>
      </c>
      <c r="G42" s="62">
        <v>0</v>
      </c>
      <c r="H42" s="62">
        <v>14000</v>
      </c>
      <c r="I42" s="62">
        <v>0</v>
      </c>
      <c r="J42" s="58">
        <f t="shared" si="11"/>
        <v>0</v>
      </c>
      <c r="K42" s="62">
        <v>0</v>
      </c>
      <c r="L42" s="62"/>
      <c r="M42" s="62">
        <v>0</v>
      </c>
    </row>
    <row r="43" spans="1:13" ht="58.5" customHeight="1" thickBot="1">
      <c r="A43" s="59"/>
      <c r="B43" s="59"/>
      <c r="C43" s="59">
        <v>2120</v>
      </c>
      <c r="D43" s="69" t="s">
        <v>79</v>
      </c>
      <c r="E43" s="58">
        <f t="shared" si="9"/>
        <v>1000</v>
      </c>
      <c r="F43" s="58">
        <f t="shared" si="10"/>
        <v>1000</v>
      </c>
      <c r="G43" s="73">
        <v>0</v>
      </c>
      <c r="H43" s="73">
        <v>0</v>
      </c>
      <c r="I43" s="73">
        <v>1000</v>
      </c>
      <c r="J43" s="58">
        <f t="shared" si="11"/>
        <v>0</v>
      </c>
      <c r="K43" s="73">
        <v>0</v>
      </c>
      <c r="L43" s="73">
        <v>0</v>
      </c>
      <c r="M43" s="73"/>
    </row>
    <row r="44" spans="1:13" ht="27" thickBot="1" thickTop="1">
      <c r="A44" s="70">
        <v>754</v>
      </c>
      <c r="B44" s="70"/>
      <c r="C44" s="70"/>
      <c r="D44" s="75" t="s">
        <v>10</v>
      </c>
      <c r="E44" s="54">
        <f>SUM(E45)</f>
        <v>2373610</v>
      </c>
      <c r="F44" s="54">
        <f aca="true" t="shared" si="12" ref="F44:M44">SUM(F45)</f>
        <v>2373610</v>
      </c>
      <c r="G44" s="54">
        <f t="shared" si="12"/>
        <v>10</v>
      </c>
      <c r="H44" s="54">
        <f t="shared" si="12"/>
        <v>2373600</v>
      </c>
      <c r="I44" s="54">
        <f t="shared" si="12"/>
        <v>0</v>
      </c>
      <c r="J44" s="54">
        <f t="shared" si="12"/>
        <v>0</v>
      </c>
      <c r="K44" s="54">
        <f t="shared" si="12"/>
        <v>0</v>
      </c>
      <c r="L44" s="54">
        <f t="shared" si="12"/>
        <v>0</v>
      </c>
      <c r="M44" s="54">
        <f t="shared" si="12"/>
        <v>0</v>
      </c>
    </row>
    <row r="45" spans="1:13" ht="13.5" thickTop="1">
      <c r="A45" s="55"/>
      <c r="B45" s="55">
        <v>75411</v>
      </c>
      <c r="C45" s="55"/>
      <c r="D45" s="56" t="s">
        <v>80</v>
      </c>
      <c r="E45" s="58">
        <f>SUM(J45+F45)</f>
        <v>2373610</v>
      </c>
      <c r="F45" s="58">
        <f aca="true" t="shared" si="13" ref="F45:F54">SUM(G45:I45)</f>
        <v>2373610</v>
      </c>
      <c r="G45" s="58">
        <f>SUM(G46:G47)</f>
        <v>10</v>
      </c>
      <c r="H45" s="58">
        <f>SUM(H46:H47)</f>
        <v>2373600</v>
      </c>
      <c r="I45" s="58">
        <f>SUM(I46:I47)</f>
        <v>0</v>
      </c>
      <c r="J45" s="58">
        <f aca="true" t="shared" si="14" ref="J45:J54">SUM(K45:M45)</f>
        <v>0</v>
      </c>
      <c r="K45" s="58">
        <f>SUM(K46:K47)</f>
        <v>0</v>
      </c>
      <c r="L45" s="58">
        <f>SUM(L46:L47)</f>
        <v>0</v>
      </c>
      <c r="M45" s="58">
        <f>SUM(M46:M47)</f>
        <v>0</v>
      </c>
    </row>
    <row r="46" spans="1:13" ht="12.75">
      <c r="A46" s="71"/>
      <c r="B46" s="71"/>
      <c r="C46" s="71" t="s">
        <v>81</v>
      </c>
      <c r="D46" s="72" t="s">
        <v>77</v>
      </c>
      <c r="E46" s="62">
        <f>SUM(J46+F46)</f>
        <v>10</v>
      </c>
      <c r="F46" s="62">
        <f t="shared" si="13"/>
        <v>10</v>
      </c>
      <c r="G46" s="62">
        <f>10</f>
        <v>10</v>
      </c>
      <c r="H46" s="62">
        <v>0</v>
      </c>
      <c r="I46" s="62">
        <v>0</v>
      </c>
      <c r="J46" s="62">
        <f t="shared" si="14"/>
        <v>0</v>
      </c>
      <c r="K46" s="62"/>
      <c r="L46" s="62">
        <v>0</v>
      </c>
      <c r="M46" s="62">
        <v>0</v>
      </c>
    </row>
    <row r="47" spans="1:13" ht="56.25" customHeight="1" thickBot="1">
      <c r="A47" s="60"/>
      <c r="B47" s="60"/>
      <c r="C47" s="60">
        <v>2110</v>
      </c>
      <c r="D47" s="368" t="s">
        <v>51</v>
      </c>
      <c r="E47" s="117">
        <f>SUM(J47+F47)</f>
        <v>2373600</v>
      </c>
      <c r="F47" s="117">
        <f t="shared" si="13"/>
        <v>2373600</v>
      </c>
      <c r="G47" s="117">
        <v>0</v>
      </c>
      <c r="H47" s="117">
        <v>2373600</v>
      </c>
      <c r="I47" s="117">
        <v>0</v>
      </c>
      <c r="J47" s="117">
        <f t="shared" si="14"/>
        <v>0</v>
      </c>
      <c r="K47" s="117">
        <v>0</v>
      </c>
      <c r="L47" s="117"/>
      <c r="M47" s="117">
        <v>0</v>
      </c>
    </row>
    <row r="48" spans="1:13" ht="52.5" thickBot="1" thickTop="1">
      <c r="A48" s="70">
        <v>756</v>
      </c>
      <c r="B48" s="70"/>
      <c r="C48" s="70"/>
      <c r="D48" s="75" t="s">
        <v>27</v>
      </c>
      <c r="E48" s="54">
        <f>G48+H48+I48</f>
        <v>4305588</v>
      </c>
      <c r="F48" s="54">
        <f t="shared" si="13"/>
        <v>4305588</v>
      </c>
      <c r="G48" s="54">
        <f>G52+G49</f>
        <v>4305588</v>
      </c>
      <c r="H48" s="54">
        <f>H52+H49</f>
        <v>0</v>
      </c>
      <c r="I48" s="54">
        <f>I52+I49</f>
        <v>0</v>
      </c>
      <c r="J48" s="54">
        <f t="shared" si="14"/>
        <v>0</v>
      </c>
      <c r="K48" s="54">
        <f>K52</f>
        <v>0</v>
      </c>
      <c r="L48" s="54">
        <f>L52</f>
        <v>0</v>
      </c>
      <c r="M48" s="54">
        <f>M52</f>
        <v>0</v>
      </c>
    </row>
    <row r="49" spans="1:13" ht="42.75" customHeight="1" thickTop="1">
      <c r="A49" s="55"/>
      <c r="B49" s="55">
        <v>75618</v>
      </c>
      <c r="C49" s="55"/>
      <c r="D49" s="57" t="s">
        <v>82</v>
      </c>
      <c r="E49" s="58">
        <f>SUM(J49+F49)</f>
        <v>1184000</v>
      </c>
      <c r="F49" s="58">
        <f>SUM(G49:I49)</f>
        <v>1184000</v>
      </c>
      <c r="G49" s="58">
        <f>SUM(G50:G51)</f>
        <v>1184000</v>
      </c>
      <c r="H49" s="58">
        <f aca="true" t="shared" si="15" ref="H49:M49">SUM(H50:H51)</f>
        <v>0</v>
      </c>
      <c r="I49" s="58">
        <f t="shared" si="15"/>
        <v>0</v>
      </c>
      <c r="J49" s="58">
        <f t="shared" si="15"/>
        <v>0</v>
      </c>
      <c r="K49" s="58">
        <f t="shared" si="15"/>
        <v>0</v>
      </c>
      <c r="L49" s="58">
        <f t="shared" si="15"/>
        <v>0</v>
      </c>
      <c r="M49" s="58">
        <f t="shared" si="15"/>
        <v>0</v>
      </c>
    </row>
    <row r="50" spans="1:13" ht="12.75">
      <c r="A50" s="71"/>
      <c r="B50" s="71"/>
      <c r="C50" s="71" t="s">
        <v>66</v>
      </c>
      <c r="D50" s="72" t="s">
        <v>67</v>
      </c>
      <c r="E50" s="58">
        <f>SUM(J50+F50)</f>
        <v>1116000</v>
      </c>
      <c r="F50" s="58">
        <f>SUM(G50:I50)</f>
        <v>1116000</v>
      </c>
      <c r="G50" s="62">
        <f>900000+216000</f>
        <v>1116000</v>
      </c>
      <c r="H50" s="62">
        <v>0</v>
      </c>
      <c r="I50" s="62">
        <v>0</v>
      </c>
      <c r="J50" s="58">
        <f>SUM(K50:M50)</f>
        <v>0</v>
      </c>
      <c r="K50" s="62"/>
      <c r="L50" s="62">
        <v>0</v>
      </c>
      <c r="M50" s="62">
        <v>0</v>
      </c>
    </row>
    <row r="51" spans="1:13" ht="38.25">
      <c r="A51" s="71"/>
      <c r="B51" s="71"/>
      <c r="C51" s="71" t="s">
        <v>83</v>
      </c>
      <c r="D51" s="69" t="s">
        <v>84</v>
      </c>
      <c r="E51" s="62">
        <f>SUM(J51+F51)</f>
        <v>68000</v>
      </c>
      <c r="F51" s="62">
        <f>SUM(G51:I51)</f>
        <v>68000</v>
      </c>
      <c r="G51" s="62">
        <f>68000</f>
        <v>68000</v>
      </c>
      <c r="H51" s="62">
        <v>0</v>
      </c>
      <c r="I51" s="62">
        <v>0</v>
      </c>
      <c r="J51" s="62">
        <f>SUM(K51:M51)</f>
        <v>0</v>
      </c>
      <c r="K51" s="62"/>
      <c r="L51" s="62">
        <v>0</v>
      </c>
      <c r="M51" s="62">
        <v>0</v>
      </c>
    </row>
    <row r="52" spans="1:13" ht="25.5">
      <c r="A52" s="71"/>
      <c r="B52" s="71">
        <v>75622</v>
      </c>
      <c r="C52" s="71"/>
      <c r="D52" s="69" t="s">
        <v>85</v>
      </c>
      <c r="E52" s="62">
        <f>G52+H52+I52</f>
        <v>3121588</v>
      </c>
      <c r="F52" s="62">
        <f t="shared" si="13"/>
        <v>3121588</v>
      </c>
      <c r="G52" s="62">
        <f>G53+G54</f>
        <v>3121588</v>
      </c>
      <c r="H52" s="58">
        <f>H53+H54</f>
        <v>0</v>
      </c>
      <c r="I52" s="58">
        <f>I53+I54</f>
        <v>0</v>
      </c>
      <c r="J52" s="58">
        <f t="shared" si="14"/>
        <v>0</v>
      </c>
      <c r="K52" s="58">
        <f>K53+K54</f>
        <v>0</v>
      </c>
      <c r="L52" s="58">
        <f>L53+L54</f>
        <v>0</v>
      </c>
      <c r="M52" s="58">
        <f>M53+M54</f>
        <v>0</v>
      </c>
    </row>
    <row r="53" spans="1:13" ht="12.75">
      <c r="A53" s="71"/>
      <c r="B53" s="71"/>
      <c r="C53" s="71" t="s">
        <v>86</v>
      </c>
      <c r="D53" s="72" t="s">
        <v>87</v>
      </c>
      <c r="E53" s="62">
        <f>G53</f>
        <v>3021588</v>
      </c>
      <c r="F53" s="58">
        <f t="shared" si="13"/>
        <v>3021588</v>
      </c>
      <c r="G53" s="62">
        <v>3021588</v>
      </c>
      <c r="H53" s="62">
        <v>0</v>
      </c>
      <c r="I53" s="62">
        <v>0</v>
      </c>
      <c r="J53" s="62">
        <f t="shared" si="14"/>
        <v>0</v>
      </c>
      <c r="K53" s="62"/>
      <c r="L53" s="62">
        <v>0</v>
      </c>
      <c r="M53" s="62">
        <v>0</v>
      </c>
    </row>
    <row r="54" spans="1:13" ht="13.5" thickBot="1">
      <c r="A54" s="59"/>
      <c r="B54" s="59"/>
      <c r="C54" s="59" t="s">
        <v>88</v>
      </c>
      <c r="D54" s="76" t="s">
        <v>89</v>
      </c>
      <c r="E54" s="73">
        <f>G54</f>
        <v>100000</v>
      </c>
      <c r="F54" s="58">
        <f t="shared" si="13"/>
        <v>100000</v>
      </c>
      <c r="G54" s="73">
        <v>100000</v>
      </c>
      <c r="H54" s="73">
        <v>0</v>
      </c>
      <c r="I54" s="73">
        <v>0</v>
      </c>
      <c r="J54" s="62">
        <f t="shared" si="14"/>
        <v>0</v>
      </c>
      <c r="K54" s="73"/>
      <c r="L54" s="73">
        <v>0</v>
      </c>
      <c r="M54" s="73">
        <v>0</v>
      </c>
    </row>
    <row r="55" spans="1:13" ht="14.25" thickBot="1" thickTop="1">
      <c r="A55" s="70">
        <v>758</v>
      </c>
      <c r="B55" s="70"/>
      <c r="C55" s="70"/>
      <c r="D55" s="66" t="s">
        <v>12</v>
      </c>
      <c r="E55" s="54">
        <f>SUM(E56+E58+E60)</f>
        <v>14464294</v>
      </c>
      <c r="F55" s="54">
        <f aca="true" t="shared" si="16" ref="F55:M55">SUM(F56+F58+F60)</f>
        <v>14464294</v>
      </c>
      <c r="G55" s="54">
        <f t="shared" si="16"/>
        <v>14464294</v>
      </c>
      <c r="H55" s="54">
        <f t="shared" si="16"/>
        <v>0</v>
      </c>
      <c r="I55" s="54">
        <f t="shared" si="16"/>
        <v>0</v>
      </c>
      <c r="J55" s="54">
        <f t="shared" si="16"/>
        <v>0</v>
      </c>
      <c r="K55" s="54">
        <f t="shared" si="16"/>
        <v>0</v>
      </c>
      <c r="L55" s="54">
        <f t="shared" si="16"/>
        <v>0</v>
      </c>
      <c r="M55" s="54">
        <f t="shared" si="16"/>
        <v>0</v>
      </c>
    </row>
    <row r="56" spans="1:13" ht="26.25" thickTop="1">
      <c r="A56" s="55"/>
      <c r="B56" s="55">
        <v>75801</v>
      </c>
      <c r="C56" s="55"/>
      <c r="D56" s="57" t="s">
        <v>90</v>
      </c>
      <c r="E56" s="58">
        <f aca="true" t="shared" si="17" ref="E56:E61">SUM(J56+F56)</f>
        <v>9661329</v>
      </c>
      <c r="F56" s="58">
        <f aca="true" t="shared" si="18" ref="F56:F61">SUM(G56:I56)</f>
        <v>9661329</v>
      </c>
      <c r="G56" s="58">
        <f>G57</f>
        <v>9661329</v>
      </c>
      <c r="H56" s="58">
        <f>H57</f>
        <v>0</v>
      </c>
      <c r="I56" s="58">
        <f>I57</f>
        <v>0</v>
      </c>
      <c r="J56" s="58">
        <f aca="true" t="shared" si="19" ref="J56:J61">SUM(K56:M56)</f>
        <v>0</v>
      </c>
      <c r="K56" s="58">
        <f>K57</f>
        <v>0</v>
      </c>
      <c r="L56" s="58">
        <f>L57</f>
        <v>0</v>
      </c>
      <c r="M56" s="58">
        <f>M57</f>
        <v>0</v>
      </c>
    </row>
    <row r="57" spans="1:13" ht="12.75">
      <c r="A57" s="71"/>
      <c r="B57" s="71"/>
      <c r="C57" s="71">
        <v>2920</v>
      </c>
      <c r="D57" s="72" t="s">
        <v>91</v>
      </c>
      <c r="E57" s="58">
        <f t="shared" si="17"/>
        <v>9661329</v>
      </c>
      <c r="F57" s="58">
        <f t="shared" si="18"/>
        <v>9661329</v>
      </c>
      <c r="G57" s="62">
        <v>9661329</v>
      </c>
      <c r="H57" s="62">
        <v>0</v>
      </c>
      <c r="I57" s="62">
        <v>0</v>
      </c>
      <c r="J57" s="58">
        <f t="shared" si="19"/>
        <v>0</v>
      </c>
      <c r="K57" s="62"/>
      <c r="L57" s="62">
        <v>0</v>
      </c>
      <c r="M57" s="62">
        <v>0</v>
      </c>
    </row>
    <row r="58" spans="1:13" ht="12.75">
      <c r="A58" s="71"/>
      <c r="B58" s="71">
        <v>75803</v>
      </c>
      <c r="C58" s="71"/>
      <c r="D58" s="69" t="s">
        <v>92</v>
      </c>
      <c r="E58" s="58">
        <f t="shared" si="17"/>
        <v>3731614</v>
      </c>
      <c r="F58" s="58">
        <f t="shared" si="18"/>
        <v>3731614</v>
      </c>
      <c r="G58" s="62">
        <f>G59</f>
        <v>3731614</v>
      </c>
      <c r="H58" s="62">
        <f>H59</f>
        <v>0</v>
      </c>
      <c r="I58" s="62">
        <f>I59</f>
        <v>0</v>
      </c>
      <c r="J58" s="58">
        <f t="shared" si="19"/>
        <v>0</v>
      </c>
      <c r="K58" s="62">
        <f>K59</f>
        <v>0</v>
      </c>
      <c r="L58" s="62">
        <f>L59</f>
        <v>0</v>
      </c>
      <c r="M58" s="62">
        <f>M59</f>
        <v>0</v>
      </c>
    </row>
    <row r="59" spans="1:13" ht="12.75">
      <c r="A59" s="71"/>
      <c r="B59" s="71"/>
      <c r="C59" s="71">
        <v>2920</v>
      </c>
      <c r="D59" s="72" t="s">
        <v>91</v>
      </c>
      <c r="E59" s="58">
        <f t="shared" si="17"/>
        <v>3731614</v>
      </c>
      <c r="F59" s="58">
        <f t="shared" si="18"/>
        <v>3731614</v>
      </c>
      <c r="G59" s="62">
        <v>3731614</v>
      </c>
      <c r="H59" s="62">
        <v>0</v>
      </c>
      <c r="I59" s="62">
        <v>0</v>
      </c>
      <c r="J59" s="58">
        <f t="shared" si="19"/>
        <v>0</v>
      </c>
      <c r="K59" s="62"/>
      <c r="L59" s="62">
        <v>0</v>
      </c>
      <c r="M59" s="62">
        <v>0</v>
      </c>
    </row>
    <row r="60" spans="1:13" ht="12.75">
      <c r="A60" s="59"/>
      <c r="B60" s="71">
        <v>75832</v>
      </c>
      <c r="C60" s="71"/>
      <c r="D60" s="69" t="s">
        <v>93</v>
      </c>
      <c r="E60" s="58">
        <f t="shared" si="17"/>
        <v>1071351</v>
      </c>
      <c r="F60" s="58">
        <f t="shared" si="18"/>
        <v>1071351</v>
      </c>
      <c r="G60" s="62">
        <f>G61</f>
        <v>1071351</v>
      </c>
      <c r="H60" s="62">
        <f>H61</f>
        <v>0</v>
      </c>
      <c r="I60" s="62">
        <f>I61</f>
        <v>0</v>
      </c>
      <c r="J60" s="58">
        <f t="shared" si="19"/>
        <v>0</v>
      </c>
      <c r="K60" s="62">
        <f>K61</f>
        <v>0</v>
      </c>
      <c r="L60" s="62">
        <f>L61</f>
        <v>0</v>
      </c>
      <c r="M60" s="62">
        <f>M61</f>
        <v>0</v>
      </c>
    </row>
    <row r="61" spans="1:13" ht="13.5" thickBot="1">
      <c r="A61" s="59"/>
      <c r="B61" s="71"/>
      <c r="C61" s="71">
        <v>2920</v>
      </c>
      <c r="D61" s="72" t="s">
        <v>91</v>
      </c>
      <c r="E61" s="58">
        <f t="shared" si="17"/>
        <v>1071351</v>
      </c>
      <c r="F61" s="58">
        <f t="shared" si="18"/>
        <v>1071351</v>
      </c>
      <c r="G61" s="62">
        <v>1071351</v>
      </c>
      <c r="H61" s="62">
        <v>0</v>
      </c>
      <c r="I61" s="62">
        <v>0</v>
      </c>
      <c r="J61" s="58">
        <f t="shared" si="19"/>
        <v>0</v>
      </c>
      <c r="K61" s="62"/>
      <c r="L61" s="62">
        <v>0</v>
      </c>
      <c r="M61" s="62">
        <v>0</v>
      </c>
    </row>
    <row r="62" spans="1:13" ht="14.25" thickBot="1" thickTop="1">
      <c r="A62" s="70">
        <v>801</v>
      </c>
      <c r="B62" s="70"/>
      <c r="C62" s="70"/>
      <c r="D62" s="66" t="s">
        <v>94</v>
      </c>
      <c r="E62" s="54">
        <f aca="true" t="shared" si="20" ref="E62:M62">SUM(E63+E65+E67+E70+E73+E75)</f>
        <v>110700</v>
      </c>
      <c r="F62" s="54">
        <f t="shared" si="20"/>
        <v>110700</v>
      </c>
      <c r="G62" s="54">
        <f t="shared" si="20"/>
        <v>110700</v>
      </c>
      <c r="H62" s="54">
        <f t="shared" si="20"/>
        <v>0</v>
      </c>
      <c r="I62" s="54">
        <f t="shared" si="20"/>
        <v>0</v>
      </c>
      <c r="J62" s="54">
        <f t="shared" si="20"/>
        <v>0</v>
      </c>
      <c r="K62" s="54">
        <f t="shared" si="20"/>
        <v>0</v>
      </c>
      <c r="L62" s="54">
        <f t="shared" si="20"/>
        <v>0</v>
      </c>
      <c r="M62" s="54">
        <f t="shared" si="20"/>
        <v>0</v>
      </c>
    </row>
    <row r="63" spans="1:13" ht="13.5" thickTop="1">
      <c r="A63" s="55"/>
      <c r="B63" s="55">
        <v>80102</v>
      </c>
      <c r="C63" s="55"/>
      <c r="D63" s="56" t="s">
        <v>95</v>
      </c>
      <c r="E63" s="62">
        <f>SUM(J63+F63)</f>
        <v>5000</v>
      </c>
      <c r="F63" s="62">
        <f>SUM(G63:I63)</f>
        <v>5000</v>
      </c>
      <c r="G63" s="58">
        <f>G64</f>
        <v>5000</v>
      </c>
      <c r="H63" s="58">
        <f>H64</f>
        <v>0</v>
      </c>
      <c r="I63" s="58">
        <f>I64</f>
        <v>0</v>
      </c>
      <c r="J63" s="58">
        <f>SUM(K63:M63)</f>
        <v>0</v>
      </c>
      <c r="K63" s="58">
        <f>K64</f>
        <v>0</v>
      </c>
      <c r="L63" s="58">
        <f>L64</f>
        <v>0</v>
      </c>
      <c r="M63" s="58">
        <f>M64</f>
        <v>0</v>
      </c>
    </row>
    <row r="64" spans="1:13" ht="68.25" customHeight="1">
      <c r="A64" s="71"/>
      <c r="B64" s="71"/>
      <c r="C64" s="71" t="s">
        <v>72</v>
      </c>
      <c r="D64" s="69" t="s">
        <v>73</v>
      </c>
      <c r="E64" s="62">
        <f aca="true" t="shared" si="21" ref="E64:E76">SUM(J64+F64)</f>
        <v>5000</v>
      </c>
      <c r="F64" s="62">
        <f aca="true" t="shared" si="22" ref="F64:F76">SUM(G64:I64)</f>
        <v>5000</v>
      </c>
      <c r="G64" s="62">
        <f>5000</f>
        <v>5000</v>
      </c>
      <c r="H64" s="62">
        <v>0</v>
      </c>
      <c r="I64" s="62">
        <v>0</v>
      </c>
      <c r="J64" s="58">
        <f aca="true" t="shared" si="23" ref="J64:J76">SUM(K64:M64)</f>
        <v>0</v>
      </c>
      <c r="K64" s="62"/>
      <c r="L64" s="62">
        <v>0</v>
      </c>
      <c r="M64" s="62">
        <v>0</v>
      </c>
    </row>
    <row r="65" spans="1:13" ht="12.75">
      <c r="A65" s="71"/>
      <c r="B65" s="71">
        <v>80111</v>
      </c>
      <c r="C65" s="71"/>
      <c r="D65" s="72" t="s">
        <v>96</v>
      </c>
      <c r="E65" s="62">
        <f t="shared" si="21"/>
        <v>4000</v>
      </c>
      <c r="F65" s="62">
        <f t="shared" si="22"/>
        <v>4000</v>
      </c>
      <c r="G65" s="62">
        <f>G66</f>
        <v>4000</v>
      </c>
      <c r="H65" s="62">
        <f>H66</f>
        <v>0</v>
      </c>
      <c r="I65" s="62">
        <f>I66</f>
        <v>0</v>
      </c>
      <c r="J65" s="58">
        <f t="shared" si="23"/>
        <v>0</v>
      </c>
      <c r="K65" s="62">
        <f>K66</f>
        <v>0</v>
      </c>
      <c r="L65" s="62">
        <f>L66</f>
        <v>0</v>
      </c>
      <c r="M65" s="62">
        <f>M66</f>
        <v>0</v>
      </c>
    </row>
    <row r="66" spans="1:13" ht="69" customHeight="1">
      <c r="A66" s="71"/>
      <c r="B66" s="71"/>
      <c r="C66" s="71" t="s">
        <v>72</v>
      </c>
      <c r="D66" s="69" t="s">
        <v>73</v>
      </c>
      <c r="E66" s="62">
        <f t="shared" si="21"/>
        <v>4000</v>
      </c>
      <c r="F66" s="62">
        <f t="shared" si="22"/>
        <v>4000</v>
      </c>
      <c r="G66" s="62">
        <f>4000</f>
        <v>4000</v>
      </c>
      <c r="H66" s="62">
        <v>0</v>
      </c>
      <c r="I66" s="62">
        <v>0</v>
      </c>
      <c r="J66" s="58">
        <f t="shared" si="23"/>
        <v>0</v>
      </c>
      <c r="K66" s="62"/>
      <c r="L66" s="62">
        <v>0</v>
      </c>
      <c r="M66" s="62">
        <v>0</v>
      </c>
    </row>
    <row r="67" spans="1:13" ht="12.75">
      <c r="A67" s="71"/>
      <c r="B67" s="71">
        <v>80120</v>
      </c>
      <c r="C67" s="71"/>
      <c r="D67" s="72" t="s">
        <v>97</v>
      </c>
      <c r="E67" s="62">
        <f t="shared" si="21"/>
        <v>16000</v>
      </c>
      <c r="F67" s="62">
        <f t="shared" si="22"/>
        <v>16000</v>
      </c>
      <c r="G67" s="62">
        <f>G68+G69</f>
        <v>16000</v>
      </c>
      <c r="H67" s="62">
        <f>H68+H69</f>
        <v>0</v>
      </c>
      <c r="I67" s="62">
        <f>I68+I69</f>
        <v>0</v>
      </c>
      <c r="J67" s="58">
        <f t="shared" si="23"/>
        <v>0</v>
      </c>
      <c r="K67" s="62">
        <f>K68+K69</f>
        <v>0</v>
      </c>
      <c r="L67" s="62">
        <f>L68+L69</f>
        <v>0</v>
      </c>
      <c r="M67" s="62">
        <f>M68+M69</f>
        <v>0</v>
      </c>
    </row>
    <row r="68" spans="1:13" ht="67.5" customHeight="1">
      <c r="A68" s="71"/>
      <c r="B68" s="71"/>
      <c r="C68" s="71" t="s">
        <v>72</v>
      </c>
      <c r="D68" s="69" t="s">
        <v>98</v>
      </c>
      <c r="E68" s="62">
        <f t="shared" si="21"/>
        <v>8000</v>
      </c>
      <c r="F68" s="62">
        <f t="shared" si="22"/>
        <v>8000</v>
      </c>
      <c r="G68" s="62">
        <f>8000</f>
        <v>8000</v>
      </c>
      <c r="H68" s="62">
        <v>0</v>
      </c>
      <c r="I68" s="62">
        <v>0</v>
      </c>
      <c r="J68" s="58">
        <f t="shared" si="23"/>
        <v>0</v>
      </c>
      <c r="K68" s="62"/>
      <c r="L68" s="62">
        <v>0</v>
      </c>
      <c r="M68" s="62">
        <v>0</v>
      </c>
    </row>
    <row r="69" spans="1:13" ht="12.75">
      <c r="A69" s="71"/>
      <c r="B69" s="71"/>
      <c r="C69" s="71" t="s">
        <v>74</v>
      </c>
      <c r="D69" s="72" t="s">
        <v>75</v>
      </c>
      <c r="E69" s="62">
        <f t="shared" si="21"/>
        <v>8000</v>
      </c>
      <c r="F69" s="62">
        <f t="shared" si="22"/>
        <v>8000</v>
      </c>
      <c r="G69" s="62">
        <f>8000</f>
        <v>8000</v>
      </c>
      <c r="H69" s="62">
        <v>0</v>
      </c>
      <c r="I69" s="62">
        <v>0</v>
      </c>
      <c r="J69" s="62">
        <f t="shared" si="23"/>
        <v>0</v>
      </c>
      <c r="K69" s="62"/>
      <c r="L69" s="62">
        <v>0</v>
      </c>
      <c r="M69" s="62">
        <v>0</v>
      </c>
    </row>
    <row r="70" spans="1:13" ht="12.75">
      <c r="A70" s="71"/>
      <c r="B70" s="71">
        <v>80130</v>
      </c>
      <c r="C70" s="71"/>
      <c r="D70" s="72" t="s">
        <v>99</v>
      </c>
      <c r="E70" s="62">
        <f>SUM(J70+F70)</f>
        <v>50000</v>
      </c>
      <c r="F70" s="62">
        <f>SUM(G70:I70)</f>
        <v>50000</v>
      </c>
      <c r="G70" s="62">
        <f>G71+G72</f>
        <v>50000</v>
      </c>
      <c r="H70" s="62">
        <f>H71+H72</f>
        <v>0</v>
      </c>
      <c r="I70" s="62">
        <f>I71+I72</f>
        <v>0</v>
      </c>
      <c r="J70" s="58">
        <f t="shared" si="23"/>
        <v>0</v>
      </c>
      <c r="K70" s="62">
        <f>K71+K72</f>
        <v>0</v>
      </c>
      <c r="L70" s="62">
        <f>L71+L72</f>
        <v>0</v>
      </c>
      <c r="M70" s="62">
        <f>M71+M72</f>
        <v>0</v>
      </c>
    </row>
    <row r="71" spans="1:13" ht="12.75">
      <c r="A71" s="71"/>
      <c r="B71" s="71"/>
      <c r="C71" s="71" t="s">
        <v>74</v>
      </c>
      <c r="D71" s="72" t="s">
        <v>100</v>
      </c>
      <c r="E71" s="62">
        <f t="shared" si="21"/>
        <v>35500</v>
      </c>
      <c r="F71" s="62">
        <f t="shared" si="22"/>
        <v>35500</v>
      </c>
      <c r="G71" s="62">
        <f>35500</f>
        <v>35500</v>
      </c>
      <c r="H71" s="62">
        <v>0</v>
      </c>
      <c r="I71" s="62">
        <v>0</v>
      </c>
      <c r="J71" s="58">
        <f t="shared" si="23"/>
        <v>0</v>
      </c>
      <c r="K71" s="62"/>
      <c r="L71" s="62">
        <v>0</v>
      </c>
      <c r="M71" s="62">
        <v>0</v>
      </c>
    </row>
    <row r="72" spans="1:13" ht="12.75">
      <c r="A72" s="71"/>
      <c r="B72" s="71"/>
      <c r="C72" s="71" t="s">
        <v>101</v>
      </c>
      <c r="D72" s="72" t="s">
        <v>102</v>
      </c>
      <c r="E72" s="62">
        <f t="shared" si="21"/>
        <v>14500</v>
      </c>
      <c r="F72" s="62">
        <f t="shared" si="22"/>
        <v>14500</v>
      </c>
      <c r="G72" s="62">
        <f>14500</f>
        <v>14500</v>
      </c>
      <c r="H72" s="62">
        <v>0</v>
      </c>
      <c r="I72" s="62">
        <v>0</v>
      </c>
      <c r="J72" s="58">
        <f t="shared" si="23"/>
        <v>0</v>
      </c>
      <c r="K72" s="62"/>
      <c r="L72" s="62">
        <v>0</v>
      </c>
      <c r="M72" s="62">
        <v>0</v>
      </c>
    </row>
    <row r="73" spans="1:13" ht="12.75">
      <c r="A73" s="71"/>
      <c r="B73" s="71">
        <v>80134</v>
      </c>
      <c r="C73" s="71"/>
      <c r="D73" s="72" t="s">
        <v>103</v>
      </c>
      <c r="E73" s="62">
        <f t="shared" si="21"/>
        <v>3000</v>
      </c>
      <c r="F73" s="62">
        <f t="shared" si="22"/>
        <v>3000</v>
      </c>
      <c r="G73" s="62">
        <f>G74</f>
        <v>3000</v>
      </c>
      <c r="H73" s="62">
        <v>0</v>
      </c>
      <c r="I73" s="62">
        <f>I74</f>
        <v>0</v>
      </c>
      <c r="J73" s="58">
        <f t="shared" si="23"/>
        <v>0</v>
      </c>
      <c r="K73" s="62">
        <f>K74</f>
        <v>0</v>
      </c>
      <c r="L73" s="62">
        <v>0</v>
      </c>
      <c r="M73" s="62">
        <f>M74</f>
        <v>0</v>
      </c>
    </row>
    <row r="74" spans="1:13" ht="69" customHeight="1">
      <c r="A74" s="71"/>
      <c r="B74" s="71"/>
      <c r="C74" s="71" t="s">
        <v>72</v>
      </c>
      <c r="D74" s="69" t="s">
        <v>98</v>
      </c>
      <c r="E74" s="62">
        <f t="shared" si="21"/>
        <v>3000</v>
      </c>
      <c r="F74" s="62">
        <f t="shared" si="22"/>
        <v>3000</v>
      </c>
      <c r="G74" s="62">
        <f>3000</f>
        <v>3000</v>
      </c>
      <c r="H74" s="62">
        <v>0</v>
      </c>
      <c r="I74" s="62">
        <v>0</v>
      </c>
      <c r="J74" s="58">
        <f t="shared" si="23"/>
        <v>0</v>
      </c>
      <c r="K74" s="62"/>
      <c r="L74" s="62">
        <v>0</v>
      </c>
      <c r="M74" s="62">
        <v>0</v>
      </c>
    </row>
    <row r="75" spans="1:13" ht="25.5">
      <c r="A75" s="77"/>
      <c r="B75" s="71">
        <v>80140</v>
      </c>
      <c r="C75" s="71"/>
      <c r="D75" s="78" t="s">
        <v>104</v>
      </c>
      <c r="E75" s="62">
        <f t="shared" si="21"/>
        <v>32700</v>
      </c>
      <c r="F75" s="62">
        <f t="shared" si="22"/>
        <v>32700</v>
      </c>
      <c r="G75" s="62">
        <f>G76</f>
        <v>32700</v>
      </c>
      <c r="H75" s="62">
        <f>H76</f>
        <v>0</v>
      </c>
      <c r="I75" s="62">
        <f>I76</f>
        <v>0</v>
      </c>
      <c r="J75" s="58">
        <f t="shared" si="23"/>
        <v>0</v>
      </c>
      <c r="K75" s="62">
        <f>K76</f>
        <v>0</v>
      </c>
      <c r="L75" s="62">
        <f>L76</f>
        <v>0</v>
      </c>
      <c r="M75" s="62">
        <f>M76</f>
        <v>0</v>
      </c>
    </row>
    <row r="76" spans="1:13" ht="13.5" thickBot="1">
      <c r="A76" s="60"/>
      <c r="B76" s="60"/>
      <c r="C76" s="60" t="s">
        <v>74</v>
      </c>
      <c r="D76" s="368" t="s">
        <v>75</v>
      </c>
      <c r="E76" s="117">
        <f t="shared" si="21"/>
        <v>32700</v>
      </c>
      <c r="F76" s="117">
        <f t="shared" si="22"/>
        <v>32700</v>
      </c>
      <c r="G76" s="117">
        <f>32700</f>
        <v>32700</v>
      </c>
      <c r="H76" s="117">
        <v>0</v>
      </c>
      <c r="I76" s="117">
        <v>0</v>
      </c>
      <c r="J76" s="117">
        <f t="shared" si="23"/>
        <v>0</v>
      </c>
      <c r="K76" s="117"/>
      <c r="L76" s="117">
        <v>0</v>
      </c>
      <c r="M76" s="117">
        <v>0</v>
      </c>
    </row>
    <row r="77" spans="1:13" ht="14.25" thickBot="1" thickTop="1">
      <c r="A77" s="52">
        <v>851</v>
      </c>
      <c r="B77" s="52"/>
      <c r="C77" s="52"/>
      <c r="D77" s="53" t="s">
        <v>13</v>
      </c>
      <c r="E77" s="79">
        <f>SUM(E78)</f>
        <v>1127000</v>
      </c>
      <c r="F77" s="79">
        <f aca="true" t="shared" si="24" ref="F77:M77">SUM(F78)</f>
        <v>1127000</v>
      </c>
      <c r="G77" s="79">
        <f t="shared" si="24"/>
        <v>0</v>
      </c>
      <c r="H77" s="79">
        <f t="shared" si="24"/>
        <v>1127000</v>
      </c>
      <c r="I77" s="79">
        <f t="shared" si="24"/>
        <v>0</v>
      </c>
      <c r="J77" s="79">
        <f t="shared" si="24"/>
        <v>0</v>
      </c>
      <c r="K77" s="79">
        <f t="shared" si="24"/>
        <v>0</v>
      </c>
      <c r="L77" s="79">
        <f t="shared" si="24"/>
        <v>0</v>
      </c>
      <c r="M77" s="79">
        <f t="shared" si="24"/>
        <v>0</v>
      </c>
    </row>
    <row r="78" spans="1:13" ht="39" thickTop="1">
      <c r="A78" s="55"/>
      <c r="B78" s="55">
        <v>85156</v>
      </c>
      <c r="C78" s="55"/>
      <c r="D78" s="57" t="s">
        <v>105</v>
      </c>
      <c r="E78" s="80">
        <f>SUM(J78+F78)</f>
        <v>1127000</v>
      </c>
      <c r="F78" s="80">
        <f>SUM(G78:I78)</f>
        <v>1127000</v>
      </c>
      <c r="G78" s="81">
        <f>G79</f>
        <v>0</v>
      </c>
      <c r="H78" s="81">
        <f>H79</f>
        <v>1127000</v>
      </c>
      <c r="I78" s="58">
        <f>I79</f>
        <v>0</v>
      </c>
      <c r="J78" s="82">
        <f>SUM(K78:M78)</f>
        <v>0</v>
      </c>
      <c r="K78" s="58">
        <f>K79</f>
        <v>0</v>
      </c>
      <c r="L78" s="58">
        <f>L79</f>
        <v>0</v>
      </c>
      <c r="M78" s="58">
        <f>M79</f>
        <v>0</v>
      </c>
    </row>
    <row r="79" spans="1:13" ht="51">
      <c r="A79" s="71"/>
      <c r="B79" s="71"/>
      <c r="C79" s="71">
        <v>2110</v>
      </c>
      <c r="D79" s="69" t="s">
        <v>106</v>
      </c>
      <c r="E79" s="80">
        <f>SUM(E80:E81)</f>
        <v>1127000</v>
      </c>
      <c r="F79" s="80">
        <f aca="true" t="shared" si="25" ref="F79:M79">SUM(F80:F81)</f>
        <v>1127000</v>
      </c>
      <c r="G79" s="80">
        <f t="shared" si="25"/>
        <v>0</v>
      </c>
      <c r="H79" s="80">
        <f t="shared" si="25"/>
        <v>1127000</v>
      </c>
      <c r="I79" s="82">
        <f t="shared" si="25"/>
        <v>0</v>
      </c>
      <c r="J79" s="82">
        <f t="shared" si="25"/>
        <v>0</v>
      </c>
      <c r="K79" s="82">
        <f t="shared" si="25"/>
        <v>0</v>
      </c>
      <c r="L79" s="82">
        <f t="shared" si="25"/>
        <v>0</v>
      </c>
      <c r="M79" s="82">
        <f t="shared" si="25"/>
        <v>0</v>
      </c>
    </row>
    <row r="80" spans="1:13" ht="12.75">
      <c r="A80" s="71"/>
      <c r="B80" s="71"/>
      <c r="C80" s="71"/>
      <c r="D80" s="72" t="s">
        <v>107</v>
      </c>
      <c r="E80" s="80">
        <f>SUM(J80+F80)</f>
        <v>1115000</v>
      </c>
      <c r="F80" s="80">
        <f>SUM(G80:I80)</f>
        <v>1115000</v>
      </c>
      <c r="G80" s="80">
        <v>0</v>
      </c>
      <c r="H80" s="80">
        <v>1115000</v>
      </c>
      <c r="I80" s="62">
        <v>0</v>
      </c>
      <c r="J80" s="82">
        <f>SUM(K80:M80)</f>
        <v>0</v>
      </c>
      <c r="K80" s="62">
        <v>0</v>
      </c>
      <c r="L80" s="62"/>
      <c r="M80" s="62">
        <v>0</v>
      </c>
    </row>
    <row r="81" spans="1:13" ht="13.5" thickBot="1">
      <c r="A81" s="59"/>
      <c r="B81" s="59"/>
      <c r="C81" s="59"/>
      <c r="D81" s="76" t="s">
        <v>108</v>
      </c>
      <c r="E81" s="83">
        <f>SUM(J81+F81)</f>
        <v>12000</v>
      </c>
      <c r="F81" s="84">
        <f>SUM(G81:I81)</f>
        <v>12000</v>
      </c>
      <c r="G81" s="84">
        <v>0</v>
      </c>
      <c r="H81" s="84">
        <v>12000</v>
      </c>
      <c r="I81" s="73">
        <v>0</v>
      </c>
      <c r="J81" s="85">
        <f>SUM(K81:M81)</f>
        <v>0</v>
      </c>
      <c r="K81" s="73">
        <v>0</v>
      </c>
      <c r="L81" s="73"/>
      <c r="M81" s="73">
        <v>0</v>
      </c>
    </row>
    <row r="82" spans="1:13" ht="14.25" thickBot="1" thickTop="1">
      <c r="A82" s="70">
        <v>852</v>
      </c>
      <c r="B82" s="70"/>
      <c r="C82" s="70"/>
      <c r="D82" s="66" t="s">
        <v>109</v>
      </c>
      <c r="E82" s="54">
        <f aca="true" t="shared" si="26" ref="E82:M82">SUM(E83+E88+E91)</f>
        <v>2215000</v>
      </c>
      <c r="F82" s="54">
        <f t="shared" si="26"/>
        <v>2215000</v>
      </c>
      <c r="G82" s="54">
        <f t="shared" si="26"/>
        <v>2212000</v>
      </c>
      <c r="H82" s="54">
        <f t="shared" si="26"/>
        <v>3000</v>
      </c>
      <c r="I82" s="54">
        <f t="shared" si="26"/>
        <v>0</v>
      </c>
      <c r="J82" s="54">
        <f t="shared" si="26"/>
        <v>0</v>
      </c>
      <c r="K82" s="54">
        <f t="shared" si="26"/>
        <v>0</v>
      </c>
      <c r="L82" s="54">
        <f t="shared" si="26"/>
        <v>0</v>
      </c>
      <c r="M82" s="54">
        <f t="shared" si="26"/>
        <v>0</v>
      </c>
    </row>
    <row r="83" spans="1:13" ht="13.5" thickTop="1">
      <c r="A83" s="55"/>
      <c r="B83" s="55">
        <v>85201</v>
      </c>
      <c r="C83" s="55"/>
      <c r="D83" s="56" t="s">
        <v>110</v>
      </c>
      <c r="E83" s="62">
        <f>SUM(J83+F83)</f>
        <v>194000</v>
      </c>
      <c r="F83" s="58">
        <f>SUM(G83:I83)</f>
        <v>194000</v>
      </c>
      <c r="G83" s="58">
        <f>SUM(G84:G87)</f>
        <v>194000</v>
      </c>
      <c r="H83" s="58">
        <f>SUM(H84:H87)</f>
        <v>0</v>
      </c>
      <c r="I83" s="58">
        <f>SUM(I84:I87)</f>
        <v>0</v>
      </c>
      <c r="J83" s="58">
        <f>SUM(K83:M83)</f>
        <v>0</v>
      </c>
      <c r="K83" s="58">
        <f>SUM(K84:K87)</f>
        <v>0</v>
      </c>
      <c r="L83" s="58">
        <f>SUM(L84:L87)</f>
        <v>0</v>
      </c>
      <c r="M83" s="58">
        <f>SUM(M84:M87)</f>
        <v>0</v>
      </c>
    </row>
    <row r="84" spans="1:13" ht="69" customHeight="1">
      <c r="A84" s="71"/>
      <c r="B84" s="71"/>
      <c r="C84" s="71" t="s">
        <v>72</v>
      </c>
      <c r="D84" s="69" t="s">
        <v>98</v>
      </c>
      <c r="E84" s="58">
        <f>SUM(J84+F84)</f>
        <v>3000</v>
      </c>
      <c r="F84" s="58">
        <f>SUM(G84:I84)</f>
        <v>3000</v>
      </c>
      <c r="G84" s="62">
        <f>3000</f>
        <v>3000</v>
      </c>
      <c r="H84" s="62">
        <v>0</v>
      </c>
      <c r="I84" s="62">
        <v>0</v>
      </c>
      <c r="J84" s="62"/>
      <c r="K84" s="62"/>
      <c r="L84" s="62">
        <v>0</v>
      </c>
      <c r="M84" s="62">
        <v>0</v>
      </c>
    </row>
    <row r="85" spans="1:13" ht="12.75">
      <c r="A85" s="71"/>
      <c r="B85" s="71"/>
      <c r="C85" s="71" t="s">
        <v>74</v>
      </c>
      <c r="D85" s="72" t="s">
        <v>100</v>
      </c>
      <c r="E85" s="62">
        <f aca="true" t="shared" si="27" ref="E85:E90">SUM(J85+F85)</f>
        <v>6000</v>
      </c>
      <c r="F85" s="58">
        <f aca="true" t="shared" si="28" ref="F85:F99">SUM(G85:I85)</f>
        <v>6000</v>
      </c>
      <c r="G85" s="62">
        <f>6000</f>
        <v>6000</v>
      </c>
      <c r="H85" s="62">
        <v>0</v>
      </c>
      <c r="I85" s="62">
        <v>0</v>
      </c>
      <c r="J85" s="58">
        <f aca="true" t="shared" si="29" ref="J85:J99">SUM(K85:M85)</f>
        <v>0</v>
      </c>
      <c r="K85" s="62"/>
      <c r="L85" s="62">
        <v>0</v>
      </c>
      <c r="M85" s="62">
        <v>0</v>
      </c>
    </row>
    <row r="86" spans="1:13" ht="12.75">
      <c r="A86" s="71"/>
      <c r="B86" s="71"/>
      <c r="C86" s="68" t="s">
        <v>111</v>
      </c>
      <c r="D86" s="61" t="s">
        <v>112</v>
      </c>
      <c r="E86" s="62">
        <f>SUM(J86+F86)</f>
        <v>3000</v>
      </c>
      <c r="F86" s="58">
        <f>SUM(G86:I86)</f>
        <v>3000</v>
      </c>
      <c r="G86" s="62">
        <v>3000</v>
      </c>
      <c r="H86" s="62">
        <v>0</v>
      </c>
      <c r="I86" s="62">
        <v>0</v>
      </c>
      <c r="J86" s="58">
        <f>SUM(K86:M86)</f>
        <v>0</v>
      </c>
      <c r="K86" s="62"/>
      <c r="L86" s="62">
        <v>0</v>
      </c>
      <c r="M86" s="62">
        <v>0</v>
      </c>
    </row>
    <row r="87" spans="1:13" ht="45.75" customHeight="1">
      <c r="A87" s="71"/>
      <c r="B87" s="71"/>
      <c r="C87" s="71">
        <v>2320</v>
      </c>
      <c r="D87" s="69" t="s">
        <v>113</v>
      </c>
      <c r="E87" s="62">
        <f t="shared" si="27"/>
        <v>182000</v>
      </c>
      <c r="F87" s="58">
        <f t="shared" si="28"/>
        <v>182000</v>
      </c>
      <c r="G87" s="62">
        <f>182000</f>
        <v>182000</v>
      </c>
      <c r="H87" s="62">
        <v>0</v>
      </c>
      <c r="I87" s="62">
        <v>0</v>
      </c>
      <c r="J87" s="58">
        <f t="shared" si="29"/>
        <v>0</v>
      </c>
      <c r="K87" s="62"/>
      <c r="L87" s="62">
        <v>0</v>
      </c>
      <c r="M87" s="62">
        <v>0</v>
      </c>
    </row>
    <row r="88" spans="1:13" ht="12.75">
      <c r="A88" s="71"/>
      <c r="B88" s="71">
        <v>85202</v>
      </c>
      <c r="C88" s="71"/>
      <c r="D88" s="72" t="s">
        <v>114</v>
      </c>
      <c r="E88" s="62">
        <f t="shared" si="27"/>
        <v>2018000</v>
      </c>
      <c r="F88" s="58">
        <f>SUM(G88:I88)</f>
        <v>2018000</v>
      </c>
      <c r="G88" s="62">
        <f>SUM(G89:G90)</f>
        <v>2018000</v>
      </c>
      <c r="H88" s="62">
        <f>SUM(H89:H90)</f>
        <v>0</v>
      </c>
      <c r="I88" s="62">
        <f>SUM(I89:I90)</f>
        <v>0</v>
      </c>
      <c r="J88" s="58">
        <f t="shared" si="29"/>
        <v>0</v>
      </c>
      <c r="K88" s="62">
        <f>SUM(K89:K90)</f>
        <v>0</v>
      </c>
      <c r="L88" s="62">
        <f>SUM(L89:L90)</f>
        <v>0</v>
      </c>
      <c r="M88" s="62">
        <f>SUM(M89:M90)</f>
        <v>0</v>
      </c>
    </row>
    <row r="89" spans="1:13" ht="12.75">
      <c r="A89" s="71"/>
      <c r="B89" s="71"/>
      <c r="C89" s="71" t="s">
        <v>74</v>
      </c>
      <c r="D89" s="72" t="s">
        <v>75</v>
      </c>
      <c r="E89" s="62">
        <f t="shared" si="27"/>
        <v>1000000</v>
      </c>
      <c r="F89" s="58">
        <f t="shared" si="28"/>
        <v>1000000</v>
      </c>
      <c r="G89" s="62">
        <f>820000+180000</f>
        <v>1000000</v>
      </c>
      <c r="H89" s="62">
        <v>0</v>
      </c>
      <c r="I89" s="62">
        <v>0</v>
      </c>
      <c r="J89" s="58">
        <f t="shared" si="29"/>
        <v>0</v>
      </c>
      <c r="K89" s="62"/>
      <c r="L89" s="62">
        <v>0</v>
      </c>
      <c r="M89" s="62">
        <v>0</v>
      </c>
    </row>
    <row r="90" spans="1:13" ht="25.5">
      <c r="A90" s="71"/>
      <c r="B90" s="71"/>
      <c r="C90" s="71">
        <v>2130</v>
      </c>
      <c r="D90" s="61" t="s">
        <v>115</v>
      </c>
      <c r="E90" s="62">
        <f t="shared" si="27"/>
        <v>1018000</v>
      </c>
      <c r="F90" s="58">
        <f t="shared" si="28"/>
        <v>1018000</v>
      </c>
      <c r="G90" s="62">
        <v>1018000</v>
      </c>
      <c r="H90" s="62">
        <v>0</v>
      </c>
      <c r="I90" s="62">
        <v>0</v>
      </c>
      <c r="J90" s="58">
        <f t="shared" si="29"/>
        <v>0</v>
      </c>
      <c r="K90" s="62"/>
      <c r="L90" s="62">
        <v>0</v>
      </c>
      <c r="M90" s="62">
        <v>0</v>
      </c>
    </row>
    <row r="91" spans="1:13" ht="25.5">
      <c r="A91" s="71"/>
      <c r="B91" s="71">
        <v>85220</v>
      </c>
      <c r="C91" s="71"/>
      <c r="D91" s="69" t="s">
        <v>116</v>
      </c>
      <c r="E91" s="62">
        <f>SUM(J91+F91)</f>
        <v>3000</v>
      </c>
      <c r="F91" s="62">
        <f t="shared" si="28"/>
        <v>3000</v>
      </c>
      <c r="G91" s="62">
        <f>SUM(G92:G92)</f>
        <v>0</v>
      </c>
      <c r="H91" s="62">
        <f>SUM(H92:H92)</f>
        <v>3000</v>
      </c>
      <c r="I91" s="62">
        <f>SUM(I92:I92)</f>
        <v>0</v>
      </c>
      <c r="J91" s="62">
        <f t="shared" si="29"/>
        <v>0</v>
      </c>
      <c r="K91" s="62">
        <f>SUM(K92:K92)</f>
        <v>0</v>
      </c>
      <c r="L91" s="62">
        <f>SUM(L92:L92)</f>
        <v>0</v>
      </c>
      <c r="M91" s="62">
        <f>SUM(M92:M92)</f>
        <v>0</v>
      </c>
    </row>
    <row r="92" spans="1:13" ht="54" customHeight="1" thickBot="1">
      <c r="A92" s="60"/>
      <c r="B92" s="60"/>
      <c r="C92" s="60">
        <v>2110</v>
      </c>
      <c r="D92" s="368" t="s">
        <v>51</v>
      </c>
      <c r="E92" s="117">
        <f>SUM(J92+F92)</f>
        <v>3000</v>
      </c>
      <c r="F92" s="117">
        <f t="shared" si="28"/>
        <v>3000</v>
      </c>
      <c r="G92" s="117">
        <v>0</v>
      </c>
      <c r="H92" s="117">
        <v>3000</v>
      </c>
      <c r="I92" s="117">
        <v>0</v>
      </c>
      <c r="J92" s="117">
        <f t="shared" si="29"/>
        <v>0</v>
      </c>
      <c r="K92" s="117">
        <v>0</v>
      </c>
      <c r="L92" s="117">
        <v>0</v>
      </c>
      <c r="M92" s="117">
        <v>0</v>
      </c>
    </row>
    <row r="93" spans="1:13" ht="27" thickBot="1" thickTop="1">
      <c r="A93" s="70">
        <v>853</v>
      </c>
      <c r="B93" s="86"/>
      <c r="C93" s="86"/>
      <c r="D93" s="75" t="s">
        <v>18</v>
      </c>
      <c r="E93" s="87">
        <f>G93+H93+I93</f>
        <v>385700</v>
      </c>
      <c r="F93" s="87">
        <f t="shared" si="28"/>
        <v>385700</v>
      </c>
      <c r="G93" s="87">
        <f>G94+G96+G98</f>
        <v>341700</v>
      </c>
      <c r="H93" s="87">
        <f>H94+H96+H98</f>
        <v>44000</v>
      </c>
      <c r="I93" s="87">
        <f>I94+I96+I98</f>
        <v>0</v>
      </c>
      <c r="J93" s="87">
        <f>J94+J96+J98</f>
        <v>0</v>
      </c>
      <c r="K93" s="87">
        <f>K94</f>
        <v>0</v>
      </c>
      <c r="L93" s="87">
        <f>L94</f>
        <v>0</v>
      </c>
      <c r="M93" s="87">
        <f>M94</f>
        <v>0</v>
      </c>
    </row>
    <row r="94" spans="1:13" ht="13.5" thickTop="1">
      <c r="A94" s="55"/>
      <c r="B94" s="55">
        <v>85321</v>
      </c>
      <c r="C94" s="55"/>
      <c r="D94" s="57" t="s">
        <v>117</v>
      </c>
      <c r="E94" s="58">
        <f>G94+H94+I94</f>
        <v>44000</v>
      </c>
      <c r="F94" s="58">
        <f t="shared" si="28"/>
        <v>44000</v>
      </c>
      <c r="G94" s="58">
        <v>0</v>
      </c>
      <c r="H94" s="58">
        <f>H95</f>
        <v>44000</v>
      </c>
      <c r="I94" s="58">
        <f>I95</f>
        <v>0</v>
      </c>
      <c r="J94" s="58">
        <f t="shared" si="29"/>
        <v>0</v>
      </c>
      <c r="K94" s="58">
        <v>0</v>
      </c>
      <c r="L94" s="58">
        <f>L95</f>
        <v>0</v>
      </c>
      <c r="M94" s="58">
        <f>M95</f>
        <v>0</v>
      </c>
    </row>
    <row r="95" spans="1:13" ht="53.25" customHeight="1">
      <c r="A95" s="71"/>
      <c r="B95" s="71"/>
      <c r="C95" s="71">
        <v>2110</v>
      </c>
      <c r="D95" s="69" t="s">
        <v>51</v>
      </c>
      <c r="E95" s="62">
        <f>G95+H95+I95</f>
        <v>44000</v>
      </c>
      <c r="F95" s="62">
        <f t="shared" si="28"/>
        <v>44000</v>
      </c>
      <c r="G95" s="62">
        <v>0</v>
      </c>
      <c r="H95" s="62">
        <v>44000</v>
      </c>
      <c r="I95" s="62">
        <v>0</v>
      </c>
      <c r="J95" s="62">
        <f t="shared" si="29"/>
        <v>0</v>
      </c>
      <c r="K95" s="62">
        <v>0</v>
      </c>
      <c r="L95" s="62"/>
      <c r="M95" s="62">
        <v>0</v>
      </c>
    </row>
    <row r="96" spans="1:13" ht="25.5">
      <c r="A96" s="55"/>
      <c r="B96" s="55">
        <v>85324</v>
      </c>
      <c r="C96" s="55"/>
      <c r="D96" s="57" t="s">
        <v>118</v>
      </c>
      <c r="E96" s="58">
        <f>G96+H96+I96</f>
        <v>20000</v>
      </c>
      <c r="F96" s="58">
        <f t="shared" si="28"/>
        <v>20000</v>
      </c>
      <c r="G96" s="58">
        <f>SUM(G97)</f>
        <v>20000</v>
      </c>
      <c r="H96" s="58">
        <f>SUM(H97)</f>
        <v>0</v>
      </c>
      <c r="I96" s="58">
        <f>SUM(I97)</f>
        <v>0</v>
      </c>
      <c r="J96" s="58">
        <f t="shared" si="29"/>
        <v>0</v>
      </c>
      <c r="K96" s="58">
        <v>0</v>
      </c>
      <c r="L96" s="58">
        <f>L99</f>
        <v>0</v>
      </c>
      <c r="M96" s="58">
        <f>M99</f>
        <v>0</v>
      </c>
    </row>
    <row r="97" spans="1:13" ht="12.75">
      <c r="A97" s="71"/>
      <c r="B97" s="71"/>
      <c r="C97" s="71" t="s">
        <v>101</v>
      </c>
      <c r="D97" s="72" t="s">
        <v>112</v>
      </c>
      <c r="E97" s="58">
        <f>SUM(J97+F97)</f>
        <v>20000</v>
      </c>
      <c r="F97" s="58">
        <f t="shared" si="28"/>
        <v>20000</v>
      </c>
      <c r="G97" s="62">
        <v>20000</v>
      </c>
      <c r="H97" s="62">
        <v>0</v>
      </c>
      <c r="I97" s="62">
        <v>0</v>
      </c>
      <c r="J97" s="62"/>
      <c r="K97" s="62"/>
      <c r="L97" s="62">
        <v>0</v>
      </c>
      <c r="M97" s="62">
        <v>0</v>
      </c>
    </row>
    <row r="98" spans="1:13" ht="12.75">
      <c r="A98" s="55"/>
      <c r="B98" s="55">
        <v>85333</v>
      </c>
      <c r="C98" s="55"/>
      <c r="D98" s="57" t="s">
        <v>119</v>
      </c>
      <c r="E98" s="58">
        <f>SUM(J98+F98)</f>
        <v>321700</v>
      </c>
      <c r="F98" s="58">
        <f>SUM(G98:I98)</f>
        <v>321700</v>
      </c>
      <c r="G98" s="58">
        <f>SUM(G99)</f>
        <v>321700</v>
      </c>
      <c r="H98" s="58">
        <f>SUM(H99)</f>
        <v>0</v>
      </c>
      <c r="I98" s="58">
        <f>SUM(I99)</f>
        <v>0</v>
      </c>
      <c r="J98" s="58"/>
      <c r="K98" s="58"/>
      <c r="L98" s="58"/>
      <c r="M98" s="58"/>
    </row>
    <row r="99" spans="1:13" ht="51.75" thickBot="1">
      <c r="A99" s="71"/>
      <c r="B99" s="71"/>
      <c r="C99" s="68" t="s">
        <v>120</v>
      </c>
      <c r="D99" s="69" t="s">
        <v>121</v>
      </c>
      <c r="E99" s="62">
        <f>G99+H99+I99</f>
        <v>321700</v>
      </c>
      <c r="F99" s="62">
        <f t="shared" si="28"/>
        <v>321700</v>
      </c>
      <c r="G99" s="62">
        <v>321700</v>
      </c>
      <c r="H99" s="62"/>
      <c r="I99" s="62">
        <v>0</v>
      </c>
      <c r="J99" s="62">
        <f t="shared" si="29"/>
        <v>0</v>
      </c>
      <c r="K99" s="62">
        <v>0</v>
      </c>
      <c r="L99" s="62"/>
      <c r="M99" s="62">
        <v>0</v>
      </c>
    </row>
    <row r="100" spans="1:13" ht="14.25" thickBot="1" thickTop="1">
      <c r="A100" s="70">
        <v>854</v>
      </c>
      <c r="B100" s="70"/>
      <c r="C100" s="70"/>
      <c r="D100" s="66" t="s">
        <v>14</v>
      </c>
      <c r="E100" s="54">
        <f>SUM(E101+E105)</f>
        <v>276100</v>
      </c>
      <c r="F100" s="54">
        <f aca="true" t="shared" si="30" ref="F100:M100">SUM(F101+F105)</f>
        <v>276100</v>
      </c>
      <c r="G100" s="54">
        <f t="shared" si="30"/>
        <v>276100</v>
      </c>
      <c r="H100" s="54">
        <f t="shared" si="30"/>
        <v>0</v>
      </c>
      <c r="I100" s="54">
        <f t="shared" si="30"/>
        <v>0</v>
      </c>
      <c r="J100" s="54">
        <f t="shared" si="30"/>
        <v>0</v>
      </c>
      <c r="K100" s="54">
        <f t="shared" si="30"/>
        <v>0</v>
      </c>
      <c r="L100" s="54">
        <f t="shared" si="30"/>
        <v>0</v>
      </c>
      <c r="M100" s="54">
        <f t="shared" si="30"/>
        <v>0</v>
      </c>
    </row>
    <row r="101" spans="1:13" ht="13.5" thickTop="1">
      <c r="A101" s="88"/>
      <c r="B101" s="88">
        <v>85403</v>
      </c>
      <c r="C101" s="88"/>
      <c r="D101" s="89" t="s">
        <v>122</v>
      </c>
      <c r="E101" s="90">
        <f aca="true" t="shared" si="31" ref="E101:E106">SUM(J101+F101)</f>
        <v>108100</v>
      </c>
      <c r="F101" s="90">
        <f aca="true" t="shared" si="32" ref="F101:F106">SUM(G101:I101)</f>
        <v>108100</v>
      </c>
      <c r="G101" s="90">
        <f>G102+G103+G104</f>
        <v>108100</v>
      </c>
      <c r="H101" s="90">
        <f>H102+H103+H104</f>
        <v>0</v>
      </c>
      <c r="I101" s="90">
        <f>I102+I103+I104</f>
        <v>0</v>
      </c>
      <c r="J101" s="90">
        <f>SUM(K101:M101)</f>
        <v>0</v>
      </c>
      <c r="K101" s="90">
        <f>SUM(K102:K104)</f>
        <v>0</v>
      </c>
      <c r="L101" s="90">
        <f>SUM(L102:L104)</f>
        <v>0</v>
      </c>
      <c r="M101" s="90">
        <f>SUM(M102:M104)</f>
        <v>0</v>
      </c>
    </row>
    <row r="102" spans="1:13" ht="69" customHeight="1">
      <c r="A102" s="71"/>
      <c r="B102" s="71"/>
      <c r="C102" s="71" t="s">
        <v>72</v>
      </c>
      <c r="D102" s="69" t="s">
        <v>98</v>
      </c>
      <c r="E102" s="58">
        <f t="shared" si="31"/>
        <v>3000</v>
      </c>
      <c r="F102" s="58">
        <f t="shared" si="32"/>
        <v>3000</v>
      </c>
      <c r="G102" s="62">
        <f>3000</f>
        <v>3000</v>
      </c>
      <c r="H102" s="62">
        <v>0</v>
      </c>
      <c r="I102" s="62">
        <v>0</v>
      </c>
      <c r="J102" s="62"/>
      <c r="K102" s="62"/>
      <c r="L102" s="62">
        <v>0</v>
      </c>
      <c r="M102" s="62">
        <v>0</v>
      </c>
    </row>
    <row r="103" spans="1:13" ht="12.75">
      <c r="A103" s="71"/>
      <c r="B103" s="71"/>
      <c r="C103" s="71" t="s">
        <v>74</v>
      </c>
      <c r="D103" s="72" t="s">
        <v>75</v>
      </c>
      <c r="E103" s="58">
        <f t="shared" si="31"/>
        <v>105000</v>
      </c>
      <c r="F103" s="58">
        <f t="shared" si="32"/>
        <v>105000</v>
      </c>
      <c r="G103" s="62">
        <f>105000</f>
        <v>105000</v>
      </c>
      <c r="H103" s="62">
        <v>0</v>
      </c>
      <c r="I103" s="62">
        <v>0</v>
      </c>
      <c r="J103" s="62"/>
      <c r="K103" s="62"/>
      <c r="L103" s="62">
        <v>0</v>
      </c>
      <c r="M103" s="62">
        <v>0</v>
      </c>
    </row>
    <row r="104" spans="1:13" ht="12.75">
      <c r="A104" s="71"/>
      <c r="B104" s="71"/>
      <c r="C104" s="71" t="s">
        <v>101</v>
      </c>
      <c r="D104" s="72" t="s">
        <v>112</v>
      </c>
      <c r="E104" s="58">
        <f t="shared" si="31"/>
        <v>100</v>
      </c>
      <c r="F104" s="58">
        <f t="shared" si="32"/>
        <v>100</v>
      </c>
      <c r="G104" s="62">
        <f>100</f>
        <v>100</v>
      </c>
      <c r="H104" s="62">
        <v>0</v>
      </c>
      <c r="I104" s="62">
        <v>0</v>
      </c>
      <c r="J104" s="62"/>
      <c r="K104" s="62"/>
      <c r="L104" s="62">
        <v>0</v>
      </c>
      <c r="M104" s="62">
        <v>0</v>
      </c>
    </row>
    <row r="105" spans="1:13" ht="12.75">
      <c r="A105" s="71"/>
      <c r="B105" s="71">
        <v>85410</v>
      </c>
      <c r="C105" s="71"/>
      <c r="D105" s="72" t="s">
        <v>123</v>
      </c>
      <c r="E105" s="58">
        <f t="shared" si="31"/>
        <v>168000</v>
      </c>
      <c r="F105" s="58">
        <f t="shared" si="32"/>
        <v>168000</v>
      </c>
      <c r="G105" s="62">
        <f>G106</f>
        <v>168000</v>
      </c>
      <c r="H105" s="62">
        <f>H106</f>
        <v>0</v>
      </c>
      <c r="I105" s="62">
        <f>I106</f>
        <v>0</v>
      </c>
      <c r="J105" s="62">
        <f>SUM(K105:M105)</f>
        <v>0</v>
      </c>
      <c r="K105" s="62">
        <f>K106</f>
        <v>0</v>
      </c>
      <c r="L105" s="62">
        <f>L106</f>
        <v>0</v>
      </c>
      <c r="M105" s="62">
        <f>M106</f>
        <v>0</v>
      </c>
    </row>
    <row r="106" spans="1:13" ht="13.5" thickBot="1">
      <c r="A106" s="71"/>
      <c r="B106" s="71"/>
      <c r="C106" s="71" t="s">
        <v>74</v>
      </c>
      <c r="D106" s="72" t="s">
        <v>124</v>
      </c>
      <c r="E106" s="58">
        <f t="shared" si="31"/>
        <v>168000</v>
      </c>
      <c r="F106" s="58">
        <f t="shared" si="32"/>
        <v>168000</v>
      </c>
      <c r="G106" s="62">
        <f>168000</f>
        <v>168000</v>
      </c>
      <c r="H106" s="62">
        <v>0</v>
      </c>
      <c r="I106" s="62">
        <v>0</v>
      </c>
      <c r="J106" s="62">
        <f>SUM(K106:M106)</f>
        <v>0</v>
      </c>
      <c r="K106" s="62"/>
      <c r="L106" s="62">
        <v>0</v>
      </c>
      <c r="M106" s="62">
        <v>0</v>
      </c>
    </row>
    <row r="107" spans="1:13" ht="14.25" thickBot="1" thickTop="1">
      <c r="A107" s="440" t="s">
        <v>15</v>
      </c>
      <c r="B107" s="452"/>
      <c r="C107" s="452"/>
      <c r="D107" s="453"/>
      <c r="E107" s="91">
        <f aca="true" t="shared" si="33" ref="E107:M107">E15+E21+E25+E32+E44+E48+E55+E62+E77+E82+E93+E100+E18</f>
        <v>26987092</v>
      </c>
      <c r="F107" s="91">
        <f t="shared" si="33"/>
        <v>26303092</v>
      </c>
      <c r="G107" s="91">
        <f t="shared" si="33"/>
        <v>21900392</v>
      </c>
      <c r="H107" s="91">
        <f t="shared" si="33"/>
        <v>4401700</v>
      </c>
      <c r="I107" s="91">
        <f t="shared" si="33"/>
        <v>1000</v>
      </c>
      <c r="J107" s="91">
        <f t="shared" si="33"/>
        <v>684000</v>
      </c>
      <c r="K107" s="91">
        <f t="shared" si="33"/>
        <v>684000</v>
      </c>
      <c r="L107" s="91">
        <f t="shared" si="33"/>
        <v>0</v>
      </c>
      <c r="M107" s="91">
        <f t="shared" si="33"/>
        <v>0</v>
      </c>
    </row>
    <row r="108" spans="1:10" ht="13.5" thickTop="1">
      <c r="A108" s="92"/>
      <c r="B108" s="92"/>
      <c r="C108" s="92"/>
      <c r="D108" s="92"/>
      <c r="E108" s="92"/>
      <c r="F108" s="93"/>
      <c r="G108" s="94"/>
      <c r="H108" s="92"/>
      <c r="I108" s="92"/>
      <c r="J108" s="45"/>
    </row>
    <row r="109" spans="1:10" ht="12.75">
      <c r="A109" s="92"/>
      <c r="B109" s="92"/>
      <c r="C109" s="92"/>
      <c r="D109" s="92"/>
      <c r="E109" s="94"/>
      <c r="F109" s="95"/>
      <c r="G109" s="94"/>
      <c r="H109" s="94"/>
      <c r="I109" s="94"/>
      <c r="J109" s="45"/>
    </row>
  </sheetData>
  <mergeCells count="15">
    <mergeCell ref="A107:D107"/>
    <mergeCell ref="E11:E13"/>
    <mergeCell ref="F11:M11"/>
    <mergeCell ref="F12:F13"/>
    <mergeCell ref="G12:I12"/>
    <mergeCell ref="J12:J13"/>
    <mergeCell ref="K12:M12"/>
    <mergeCell ref="A11:A13"/>
    <mergeCell ref="B11:B13"/>
    <mergeCell ref="C11:C13"/>
    <mergeCell ref="D11:D13"/>
    <mergeCell ref="A6:M6"/>
    <mergeCell ref="A7:M7"/>
    <mergeCell ref="A8:M8"/>
    <mergeCell ref="A9:M9"/>
  </mergeCells>
  <printOptions horizontalCentered="1"/>
  <pageMargins left="0.48" right="0.28" top="0.55" bottom="0.7874015748031497" header="1.11" footer="0.5118110236220472"/>
  <pageSetup horizontalDpi="600" verticalDpi="600" orientation="landscape" paperSize="9" scale="78" r:id="rId1"/>
  <rowBreaks count="5" manualBreakCount="5">
    <brk id="26" max="12" man="1"/>
    <brk id="40" max="12" man="1"/>
    <brk id="56" max="12" man="1"/>
    <brk id="74" max="12" man="1"/>
    <brk id="92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zoomScale="75" zoomScaleNormal="75" workbookViewId="0" topLeftCell="A7">
      <selection activeCell="C14" sqref="C14"/>
    </sheetView>
  </sheetViews>
  <sheetFormatPr defaultColWidth="9.00390625" defaultRowHeight="12.75"/>
  <cols>
    <col min="1" max="1" width="5.625" style="0" customWidth="1"/>
    <col min="3" max="3" width="96.25390625" style="0" bestFit="1" customWidth="1"/>
    <col min="4" max="4" width="14.875" style="0" customWidth="1"/>
    <col min="5" max="5" width="13.25390625" style="0" bestFit="1" customWidth="1"/>
  </cols>
  <sheetData>
    <row r="1" spans="1:5" ht="12.75">
      <c r="A1" s="96"/>
      <c r="B1" s="96"/>
      <c r="C1" s="96"/>
      <c r="D1" s="96" t="s">
        <v>125</v>
      </c>
      <c r="E1" s="96"/>
    </row>
    <row r="2" spans="1:5" ht="12.75">
      <c r="A2" s="96"/>
      <c r="B2" s="96"/>
      <c r="C2" s="96"/>
      <c r="D2" s="44" t="s">
        <v>311</v>
      </c>
      <c r="E2" s="96"/>
    </row>
    <row r="3" spans="1:5" ht="12.75">
      <c r="A3" s="96"/>
      <c r="B3" s="96"/>
      <c r="C3" s="96"/>
      <c r="D3" s="44" t="s">
        <v>21</v>
      </c>
      <c r="E3" s="96"/>
    </row>
    <row r="4" spans="1:5" ht="12.75">
      <c r="A4" s="96"/>
      <c r="B4" s="96"/>
      <c r="C4" s="96"/>
      <c r="D4" s="43" t="s">
        <v>312</v>
      </c>
      <c r="E4" s="96"/>
    </row>
    <row r="5" spans="1:5" ht="12.75">
      <c r="A5" s="96"/>
      <c r="B5" s="96"/>
      <c r="C5" s="96"/>
      <c r="D5" s="96"/>
      <c r="E5" s="96"/>
    </row>
    <row r="6" spans="1:5" ht="12.75" customHeight="1">
      <c r="A6" s="463" t="s">
        <v>126</v>
      </c>
      <c r="B6" s="464"/>
      <c r="C6" s="464"/>
      <c r="D6" s="464"/>
      <c r="E6" s="464"/>
    </row>
    <row r="7" spans="1:5" ht="15.75" customHeight="1">
      <c r="A7" s="447" t="s">
        <v>127</v>
      </c>
      <c r="B7" s="465"/>
      <c r="C7" s="465"/>
      <c r="D7" s="465"/>
      <c r="E7" s="465"/>
    </row>
    <row r="8" spans="1:5" ht="15.75" customHeight="1" thickBot="1">
      <c r="A8" s="96"/>
      <c r="B8" s="96"/>
      <c r="C8" s="96"/>
      <c r="D8" s="96"/>
      <c r="E8" s="97"/>
    </row>
    <row r="9" spans="1:5" ht="18" customHeight="1" thickBot="1">
      <c r="A9" s="98" t="s">
        <v>128</v>
      </c>
      <c r="B9" s="99"/>
      <c r="C9" s="100" t="s">
        <v>129</v>
      </c>
      <c r="D9" s="101" t="s">
        <v>130</v>
      </c>
      <c r="E9" s="102" t="s">
        <v>131</v>
      </c>
    </row>
    <row r="10" spans="1:5" ht="18" customHeight="1" thickBot="1" thickTop="1">
      <c r="A10" s="103" t="s">
        <v>132</v>
      </c>
      <c r="B10" s="104"/>
      <c r="C10" s="438" t="s">
        <v>133</v>
      </c>
      <c r="D10" s="105">
        <f>D11+D12+D13+D14</f>
        <v>5420700</v>
      </c>
      <c r="E10" s="106">
        <f>E11+E12+E13+E14</f>
        <v>0.20086269391307515</v>
      </c>
    </row>
    <row r="11" spans="1:5" ht="31.5" customHeight="1" thickTop="1">
      <c r="A11" s="107"/>
      <c r="B11" s="108">
        <v>1</v>
      </c>
      <c r="C11" s="434" t="s">
        <v>134</v>
      </c>
      <c r="D11" s="58">
        <v>4401700</v>
      </c>
      <c r="E11" s="109">
        <f>D11*100/D30/100</f>
        <v>0.16310390167269595</v>
      </c>
    </row>
    <row r="12" spans="1:5" ht="16.5" customHeight="1">
      <c r="A12" s="110"/>
      <c r="B12" s="111">
        <v>2</v>
      </c>
      <c r="C12" s="435" t="s">
        <v>135</v>
      </c>
      <c r="D12" s="62">
        <v>1018000</v>
      </c>
      <c r="E12" s="109">
        <f>D12*100/D30/100</f>
        <v>0.03772173748842595</v>
      </c>
    </row>
    <row r="13" spans="1:5" ht="28.5" customHeight="1">
      <c r="A13" s="112"/>
      <c r="B13" s="113">
        <v>3</v>
      </c>
      <c r="C13" s="436" t="s">
        <v>136</v>
      </c>
      <c r="D13" s="73">
        <v>1000</v>
      </c>
      <c r="E13" s="114">
        <f>D13*100/D30/100</f>
        <v>3.7054751953267144E-05</v>
      </c>
    </row>
    <row r="14" spans="1:5" ht="30" customHeight="1" thickBot="1">
      <c r="A14" s="115"/>
      <c r="B14" s="116">
        <v>4</v>
      </c>
      <c r="C14" s="437" t="s">
        <v>137</v>
      </c>
      <c r="D14" s="117">
        <v>0</v>
      </c>
      <c r="E14" s="109">
        <f>D14*100/D30/100</f>
        <v>0</v>
      </c>
    </row>
    <row r="15" spans="1:5" ht="14.25" thickBot="1" thickTop="1">
      <c r="A15" s="103" t="s">
        <v>138</v>
      </c>
      <c r="B15" s="118"/>
      <c r="C15" s="438" t="s">
        <v>139</v>
      </c>
      <c r="D15" s="119">
        <f>D16+D17+D18</f>
        <v>14464294</v>
      </c>
      <c r="E15" s="106">
        <f>E16+E17+E18</f>
        <v>0.5359708263491302</v>
      </c>
    </row>
    <row r="16" spans="1:5" ht="17.25" customHeight="1" thickTop="1">
      <c r="A16" s="107"/>
      <c r="B16" s="108">
        <v>1</v>
      </c>
      <c r="C16" s="434" t="s">
        <v>140</v>
      </c>
      <c r="D16" s="58">
        <v>9661329</v>
      </c>
      <c r="E16" s="109">
        <f>D16*100/D30/100</f>
        <v>0.35799814963390647</v>
      </c>
    </row>
    <row r="17" spans="1:5" ht="18.75" customHeight="1">
      <c r="A17" s="110"/>
      <c r="B17" s="111">
        <v>2</v>
      </c>
      <c r="C17" s="435" t="s">
        <v>141</v>
      </c>
      <c r="D17" s="62">
        <v>3731614</v>
      </c>
      <c r="E17" s="120">
        <f>D17*100/D30/100</f>
        <v>0.138274031155339</v>
      </c>
    </row>
    <row r="18" spans="1:5" ht="19.5" customHeight="1" thickBot="1">
      <c r="A18" s="112"/>
      <c r="B18" s="113">
        <v>3</v>
      </c>
      <c r="C18" s="436" t="s">
        <v>142</v>
      </c>
      <c r="D18" s="73">
        <v>1071351</v>
      </c>
      <c r="E18" s="122">
        <f>D18*100/D30/100</f>
        <v>0.0396986455598847</v>
      </c>
    </row>
    <row r="19" spans="1:5" ht="14.25" thickBot="1" thickTop="1">
      <c r="A19" s="103" t="s">
        <v>143</v>
      </c>
      <c r="B19" s="118"/>
      <c r="C19" s="438" t="s">
        <v>144</v>
      </c>
      <c r="D19" s="119">
        <f>SUM(D20:D23)</f>
        <v>521700</v>
      </c>
      <c r="E19" s="106">
        <f>E20+E21+E22+E23</f>
        <v>0.019331464094019465</v>
      </c>
    </row>
    <row r="20" spans="1:5" ht="30" customHeight="1" thickTop="1">
      <c r="A20" s="112"/>
      <c r="B20" s="113">
        <v>1</v>
      </c>
      <c r="C20" s="436" t="s">
        <v>145</v>
      </c>
      <c r="D20" s="73">
        <v>18000</v>
      </c>
      <c r="E20" s="122">
        <f>D20*100/D30/100</f>
        <v>0.0006669855351588085</v>
      </c>
    </row>
    <row r="21" spans="1:5" ht="29.25" customHeight="1">
      <c r="A21" s="112"/>
      <c r="B21" s="113">
        <v>2</v>
      </c>
      <c r="C21" s="436" t="s">
        <v>146</v>
      </c>
      <c r="D21" s="73">
        <v>321700</v>
      </c>
      <c r="E21" s="122">
        <f>D21*100/D30/100</f>
        <v>0.011920513703366038</v>
      </c>
    </row>
    <row r="22" spans="1:5" ht="30.75" customHeight="1">
      <c r="A22" s="112"/>
      <c r="B22" s="113">
        <v>3</v>
      </c>
      <c r="C22" s="436" t="s">
        <v>147</v>
      </c>
      <c r="D22" s="73">
        <v>0</v>
      </c>
      <c r="E22" s="122">
        <f>D22*100/D30/100</f>
        <v>0</v>
      </c>
    </row>
    <row r="23" spans="1:5" ht="29.25" customHeight="1" thickBot="1">
      <c r="A23" s="123"/>
      <c r="B23" s="124">
        <v>4</v>
      </c>
      <c r="C23" s="439" t="s">
        <v>148</v>
      </c>
      <c r="D23" s="117">
        <v>182000</v>
      </c>
      <c r="E23" s="122">
        <f>D23*100/D30/100</f>
        <v>0.0067439648554946195</v>
      </c>
    </row>
    <row r="24" spans="1:5" ht="18" customHeight="1" thickBot="1" thickTop="1">
      <c r="A24" s="103" t="s">
        <v>149</v>
      </c>
      <c r="B24" s="118"/>
      <c r="C24" s="438" t="s">
        <v>150</v>
      </c>
      <c r="D24" s="119">
        <f>D25+D26+D27+D28+D29</f>
        <v>6580398</v>
      </c>
      <c r="E24" s="106">
        <f>E25+E26+E27+E28+E29</f>
        <v>0.24383501564377516</v>
      </c>
    </row>
    <row r="25" spans="1:5" ht="31.5" customHeight="1" thickTop="1">
      <c r="A25" s="125"/>
      <c r="B25" s="108">
        <v>1</v>
      </c>
      <c r="C25" s="434" t="s">
        <v>151</v>
      </c>
      <c r="D25" s="58">
        <v>3021588</v>
      </c>
      <c r="E25" s="109">
        <f>D25*100/D30/100</f>
        <v>0.11196419384496854</v>
      </c>
    </row>
    <row r="26" spans="1:5" ht="28.5" customHeight="1">
      <c r="A26" s="125"/>
      <c r="B26" s="108">
        <v>2</v>
      </c>
      <c r="C26" s="434" t="s">
        <v>152</v>
      </c>
      <c r="D26" s="58">
        <v>100000</v>
      </c>
      <c r="E26" s="109">
        <f>D26*100/D30/100</f>
        <v>0.003705475195326714</v>
      </c>
    </row>
    <row r="27" spans="1:5" ht="15.75" customHeight="1">
      <c r="A27" s="126"/>
      <c r="B27" s="111">
        <v>3</v>
      </c>
      <c r="C27" s="435" t="s">
        <v>153</v>
      </c>
      <c r="D27" s="62">
        <f>900000+216000</f>
        <v>1116000</v>
      </c>
      <c r="E27" s="120">
        <f>D27*100/D30/100</f>
        <v>0.041353103179846126</v>
      </c>
    </row>
    <row r="28" spans="1:5" ht="15.75" customHeight="1">
      <c r="A28" s="126"/>
      <c r="B28" s="111">
        <v>4</v>
      </c>
      <c r="C28" s="435" t="s">
        <v>154</v>
      </c>
      <c r="D28" s="127">
        <f>820000+180000</f>
        <v>1000000</v>
      </c>
      <c r="E28" s="120">
        <f>D28*100/D30/100</f>
        <v>0.037054751953267136</v>
      </c>
    </row>
    <row r="29" spans="1:5" ht="16.5" customHeight="1" thickBot="1">
      <c r="A29" s="128"/>
      <c r="B29" s="113">
        <v>5</v>
      </c>
      <c r="C29" s="436" t="s">
        <v>155</v>
      </c>
      <c r="D29" s="129">
        <v>1342810</v>
      </c>
      <c r="E29" s="122">
        <f>D29*100/D30/100</f>
        <v>0.04975749147036665</v>
      </c>
    </row>
    <row r="30" spans="1:5" ht="14.25" thickBot="1" thickTop="1">
      <c r="A30" s="466" t="s">
        <v>15</v>
      </c>
      <c r="B30" s="467"/>
      <c r="C30" s="467"/>
      <c r="D30" s="130">
        <f>D10+D15+D19+D24</f>
        <v>26987092</v>
      </c>
      <c r="E30" s="131">
        <f>E10+E15+E19+E24</f>
        <v>1</v>
      </c>
    </row>
    <row r="31" ht="13.5" thickTop="1"/>
  </sheetData>
  <mergeCells count="3">
    <mergeCell ref="A6:E6"/>
    <mergeCell ref="A7:E7"/>
    <mergeCell ref="A30:C30"/>
  </mergeCells>
  <printOptions horizontalCentered="1"/>
  <pageMargins left="0.7874015748031497" right="0.7874015748031497" top="0.38" bottom="0.45" header="0.84" footer="0.32"/>
  <pageSetup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6"/>
  <sheetViews>
    <sheetView zoomScale="75" zoomScaleNormal="75" workbookViewId="0" topLeftCell="A34">
      <selection activeCell="B41" sqref="B41"/>
    </sheetView>
  </sheetViews>
  <sheetFormatPr defaultColWidth="9.00390625" defaultRowHeight="12.75"/>
  <cols>
    <col min="3" max="3" width="41.625" style="0" bestFit="1" customWidth="1"/>
    <col min="4" max="4" width="17.00390625" style="0" customWidth="1"/>
    <col min="5" max="5" width="12.00390625" style="0" bestFit="1" customWidth="1"/>
    <col min="6" max="6" width="13.25390625" style="0" customWidth="1"/>
    <col min="7" max="8" width="10.875" style="0" bestFit="1" customWidth="1"/>
    <col min="9" max="9" width="10.875" style="0" customWidth="1"/>
    <col min="10" max="10" width="12.00390625" style="0" customWidth="1"/>
    <col min="11" max="11" width="13.125" style="0" customWidth="1"/>
  </cols>
  <sheetData>
    <row r="1" spans="1:11" ht="12.75">
      <c r="A1" s="132"/>
      <c r="B1" s="132"/>
      <c r="C1" s="132"/>
      <c r="D1" s="132"/>
      <c r="E1" s="132"/>
      <c r="F1" s="132"/>
      <c r="G1" s="132"/>
      <c r="H1" s="132"/>
      <c r="I1" s="132"/>
      <c r="J1" s="132" t="s">
        <v>156</v>
      </c>
      <c r="K1" s="132"/>
    </row>
    <row r="2" spans="1:11" ht="12.75">
      <c r="A2" s="132"/>
      <c r="B2" s="132"/>
      <c r="C2" s="132"/>
      <c r="D2" s="132"/>
      <c r="E2" s="132"/>
      <c r="F2" s="132"/>
      <c r="G2" s="132"/>
      <c r="H2" s="132"/>
      <c r="I2" s="132"/>
      <c r="J2" s="44" t="s">
        <v>311</v>
      </c>
      <c r="K2" s="132"/>
    </row>
    <row r="3" spans="1:11" ht="12.75">
      <c r="A3" s="132"/>
      <c r="B3" s="132"/>
      <c r="C3" s="132"/>
      <c r="D3" s="132"/>
      <c r="E3" s="132"/>
      <c r="F3" s="132"/>
      <c r="G3" s="132"/>
      <c r="H3" s="132"/>
      <c r="I3" s="132"/>
      <c r="J3" s="44" t="s">
        <v>21</v>
      </c>
      <c r="K3" s="132"/>
    </row>
    <row r="4" spans="1:11" ht="12.75">
      <c r="A4" s="132"/>
      <c r="B4" s="132"/>
      <c r="C4" s="132"/>
      <c r="D4" s="132"/>
      <c r="E4" s="132"/>
      <c r="F4" s="132"/>
      <c r="G4" s="132"/>
      <c r="H4" s="132"/>
      <c r="I4" s="132"/>
      <c r="J4" s="43" t="s">
        <v>312</v>
      </c>
      <c r="K4" s="132"/>
    </row>
    <row r="5" spans="1:11" ht="15">
      <c r="A5" s="468" t="s">
        <v>157</v>
      </c>
      <c r="B5" s="469"/>
      <c r="C5" s="469"/>
      <c r="D5" s="469"/>
      <c r="E5" s="469"/>
      <c r="F5" s="469"/>
      <c r="G5" s="469"/>
      <c r="H5" s="469"/>
      <c r="I5" s="469"/>
      <c r="J5" s="469"/>
      <c r="K5" s="469"/>
    </row>
    <row r="6" spans="1:11" ht="12.75" customHeight="1">
      <c r="A6" s="468" t="s">
        <v>158</v>
      </c>
      <c r="B6" s="469"/>
      <c r="C6" s="469"/>
      <c r="D6" s="469"/>
      <c r="E6" s="469"/>
      <c r="F6" s="469"/>
      <c r="G6" s="469"/>
      <c r="H6" s="469"/>
      <c r="I6" s="469"/>
      <c r="J6" s="469"/>
      <c r="K6" s="469"/>
    </row>
    <row r="7" spans="1:11" ht="15.75" customHeight="1">
      <c r="A7" s="468" t="s">
        <v>34</v>
      </c>
      <c r="B7" s="469"/>
      <c r="C7" s="469"/>
      <c r="D7" s="469"/>
      <c r="E7" s="469"/>
      <c r="F7" s="469"/>
      <c r="G7" s="469"/>
      <c r="H7" s="469"/>
      <c r="I7" s="469"/>
      <c r="J7" s="469"/>
      <c r="K7" s="469"/>
    </row>
    <row r="8" spans="1:11" ht="15.75" customHeight="1">
      <c r="A8" s="132"/>
      <c r="B8" s="132"/>
      <c r="C8" s="132"/>
      <c r="D8" s="132"/>
      <c r="E8" s="132"/>
      <c r="F8" s="132"/>
      <c r="G8" s="132"/>
      <c r="H8" s="132"/>
      <c r="I8" s="132"/>
      <c r="J8" s="132"/>
      <c r="K8" s="132"/>
    </row>
    <row r="9" spans="1:11" ht="18" customHeight="1">
      <c r="A9" s="470" t="s">
        <v>0</v>
      </c>
      <c r="B9" s="470" t="s">
        <v>159</v>
      </c>
      <c r="C9" s="471" t="s">
        <v>40</v>
      </c>
      <c r="D9" s="472" t="s">
        <v>160</v>
      </c>
      <c r="E9" s="474" t="s">
        <v>161</v>
      </c>
      <c r="F9" s="475"/>
      <c r="G9" s="475"/>
      <c r="H9" s="475"/>
      <c r="I9" s="475"/>
      <c r="J9" s="475"/>
      <c r="K9" s="476"/>
    </row>
    <row r="10" spans="1:11" ht="18.75" customHeight="1">
      <c r="A10" s="470"/>
      <c r="B10" s="470"/>
      <c r="C10" s="471"/>
      <c r="D10" s="472"/>
      <c r="E10" s="472" t="s">
        <v>162</v>
      </c>
      <c r="F10" s="472"/>
      <c r="G10" s="472"/>
      <c r="H10" s="472"/>
      <c r="I10" s="472"/>
      <c r="J10" s="472"/>
      <c r="K10" s="472" t="s">
        <v>163</v>
      </c>
    </row>
    <row r="11" spans="1:11" ht="13.5" customHeight="1">
      <c r="A11" s="470"/>
      <c r="B11" s="470"/>
      <c r="C11" s="471"/>
      <c r="D11" s="472"/>
      <c r="E11" s="477" t="s">
        <v>15</v>
      </c>
      <c r="F11" s="479" t="s">
        <v>43</v>
      </c>
      <c r="G11" s="479"/>
      <c r="H11" s="479"/>
      <c r="I11" s="479"/>
      <c r="J11" s="479"/>
      <c r="K11" s="472"/>
    </row>
    <row r="12" spans="1:11" ht="48">
      <c r="A12" s="470"/>
      <c r="B12" s="470"/>
      <c r="C12" s="471"/>
      <c r="D12" s="472"/>
      <c r="E12" s="478"/>
      <c r="F12" s="133" t="s">
        <v>164</v>
      </c>
      <c r="G12" s="133" t="s">
        <v>165</v>
      </c>
      <c r="H12" s="133" t="s">
        <v>166</v>
      </c>
      <c r="I12" s="133" t="s">
        <v>310</v>
      </c>
      <c r="J12" s="133" t="s">
        <v>167</v>
      </c>
      <c r="K12" s="472"/>
    </row>
    <row r="13" spans="1:11" ht="13.5" thickBot="1">
      <c r="A13" s="134">
        <v>1</v>
      </c>
      <c r="B13" s="134">
        <v>2</v>
      </c>
      <c r="C13" s="135">
        <v>3</v>
      </c>
      <c r="D13" s="135">
        <v>4</v>
      </c>
      <c r="E13" s="136">
        <v>5</v>
      </c>
      <c r="F13" s="135">
        <v>6</v>
      </c>
      <c r="G13" s="135">
        <v>7</v>
      </c>
      <c r="H13" s="135">
        <v>8</v>
      </c>
      <c r="I13" s="135">
        <v>9</v>
      </c>
      <c r="J13" s="135">
        <v>10</v>
      </c>
      <c r="K13" s="135">
        <v>11</v>
      </c>
    </row>
    <row r="14" spans="1:11" ht="14.25" thickBot="1" thickTop="1">
      <c r="A14" s="137" t="s">
        <v>48</v>
      </c>
      <c r="B14" s="138"/>
      <c r="C14" s="138" t="s">
        <v>5</v>
      </c>
      <c r="D14" s="54">
        <f>E14+K14</f>
        <v>85000</v>
      </c>
      <c r="E14" s="54">
        <f>F14+G14+H14+J14</f>
        <v>85000</v>
      </c>
      <c r="F14" s="54">
        <v>0</v>
      </c>
      <c r="G14" s="54">
        <f>G15</f>
        <v>85000</v>
      </c>
      <c r="H14" s="54">
        <v>0</v>
      </c>
      <c r="I14" s="54">
        <v>0</v>
      </c>
      <c r="J14" s="54">
        <f>J15</f>
        <v>0</v>
      </c>
      <c r="K14" s="54">
        <f>K15</f>
        <v>0</v>
      </c>
    </row>
    <row r="15" spans="1:11" ht="27" thickBot="1" thickTop="1">
      <c r="A15" s="139"/>
      <c r="B15" s="140" t="s">
        <v>168</v>
      </c>
      <c r="C15" s="141" t="s">
        <v>169</v>
      </c>
      <c r="D15" s="81">
        <f>E15</f>
        <v>85000</v>
      </c>
      <c r="E15" s="81">
        <f>G15</f>
        <v>85000</v>
      </c>
      <c r="F15" s="81">
        <v>0</v>
      </c>
      <c r="G15" s="81">
        <v>85000</v>
      </c>
      <c r="H15" s="81">
        <v>0</v>
      </c>
      <c r="I15" s="81">
        <v>0</v>
      </c>
      <c r="J15" s="81">
        <v>0</v>
      </c>
      <c r="K15" s="81">
        <v>0</v>
      </c>
    </row>
    <row r="16" spans="1:11" ht="21" customHeight="1" thickBot="1" thickTop="1">
      <c r="A16" s="137" t="s">
        <v>170</v>
      </c>
      <c r="B16" s="137"/>
      <c r="C16" s="142" t="s">
        <v>6</v>
      </c>
      <c r="D16" s="54">
        <f>E16++K16</f>
        <v>23000</v>
      </c>
      <c r="E16" s="54">
        <f>F16+G16+H16+J16</f>
        <v>23000</v>
      </c>
      <c r="F16" s="54">
        <v>0</v>
      </c>
      <c r="G16" s="87">
        <f>G17+G18</f>
        <v>23000</v>
      </c>
      <c r="H16" s="54">
        <v>0</v>
      </c>
      <c r="I16" s="54">
        <v>0</v>
      </c>
      <c r="J16" s="54">
        <v>0</v>
      </c>
      <c r="K16" s="54">
        <f>K18+K17</f>
        <v>0</v>
      </c>
    </row>
    <row r="17" spans="1:11" ht="13.5" thickTop="1">
      <c r="A17" s="143"/>
      <c r="B17" s="67" t="s">
        <v>171</v>
      </c>
      <c r="C17" s="144" t="s">
        <v>172</v>
      </c>
      <c r="D17" s="58">
        <f>E17</f>
        <v>18000</v>
      </c>
      <c r="E17" s="58">
        <f>F17+G17+H17+J17</f>
        <v>18000</v>
      </c>
      <c r="F17" s="58">
        <v>0</v>
      </c>
      <c r="G17" s="81">
        <v>18000</v>
      </c>
      <c r="H17" s="58">
        <v>0</v>
      </c>
      <c r="I17" s="58">
        <v>0</v>
      </c>
      <c r="J17" s="58">
        <v>0</v>
      </c>
      <c r="K17" s="58">
        <v>0</v>
      </c>
    </row>
    <row r="18" spans="1:11" ht="13.5" thickBot="1">
      <c r="A18" s="145"/>
      <c r="B18" s="67" t="s">
        <v>53</v>
      </c>
      <c r="C18" s="146" t="s">
        <v>54</v>
      </c>
      <c r="D18" s="84">
        <f>E18+K18</f>
        <v>5000</v>
      </c>
      <c r="E18" s="84">
        <f>F18+G18+H18+J18</f>
        <v>5000</v>
      </c>
      <c r="F18" s="84">
        <v>0</v>
      </c>
      <c r="G18" s="84">
        <v>5000</v>
      </c>
      <c r="H18" s="84">
        <v>0</v>
      </c>
      <c r="I18" s="84">
        <v>0</v>
      </c>
      <c r="J18" s="84">
        <v>0</v>
      </c>
      <c r="K18" s="84">
        <v>0</v>
      </c>
    </row>
    <row r="19" spans="1:11" ht="14.25" thickBot="1" thickTop="1">
      <c r="A19" s="137">
        <v>600</v>
      </c>
      <c r="B19" s="137"/>
      <c r="C19" s="142" t="s">
        <v>7</v>
      </c>
      <c r="D19" s="54">
        <f>E19+K19</f>
        <v>2000000</v>
      </c>
      <c r="E19" s="54">
        <f>F19+G19+H19+J19</f>
        <v>1279220</v>
      </c>
      <c r="F19" s="54">
        <f>F20</f>
        <v>436473</v>
      </c>
      <c r="G19" s="87">
        <f>G20</f>
        <v>802747</v>
      </c>
      <c r="H19" s="54">
        <f>H20</f>
        <v>40000</v>
      </c>
      <c r="I19" s="54">
        <v>0</v>
      </c>
      <c r="J19" s="54">
        <v>0</v>
      </c>
      <c r="K19" s="54">
        <f>K20</f>
        <v>720780</v>
      </c>
    </row>
    <row r="20" spans="1:11" ht="14.25" thickBot="1" thickTop="1">
      <c r="A20" s="139"/>
      <c r="B20" s="139">
        <v>60014</v>
      </c>
      <c r="C20" s="141" t="s">
        <v>173</v>
      </c>
      <c r="D20" s="81">
        <f>E20+K20</f>
        <v>2000000</v>
      </c>
      <c r="E20" s="81">
        <f>F20+G20+H20</f>
        <v>1279220</v>
      </c>
      <c r="F20" s="81">
        <v>436473</v>
      </c>
      <c r="G20" s="81">
        <f>1070000+804-268057</f>
        <v>802747</v>
      </c>
      <c r="H20" s="81">
        <v>40000</v>
      </c>
      <c r="I20" s="81">
        <v>0</v>
      </c>
      <c r="J20" s="81">
        <v>0</v>
      </c>
      <c r="K20" s="81">
        <f>1720780-1000000</f>
        <v>720780</v>
      </c>
    </row>
    <row r="21" spans="1:11" ht="14.25" thickBot="1" thickTop="1">
      <c r="A21" s="137">
        <v>630</v>
      </c>
      <c r="B21" s="137"/>
      <c r="C21" s="142" t="s">
        <v>174</v>
      </c>
      <c r="D21" s="54">
        <f>E21+K21</f>
        <v>23000</v>
      </c>
      <c r="E21" s="54">
        <f>F21+G21+H21+J21</f>
        <v>23000</v>
      </c>
      <c r="F21" s="54">
        <v>0</v>
      </c>
      <c r="G21" s="87">
        <f>G22</f>
        <v>23000</v>
      </c>
      <c r="H21" s="54">
        <v>0</v>
      </c>
      <c r="I21" s="54">
        <v>0</v>
      </c>
      <c r="J21" s="54">
        <v>0</v>
      </c>
      <c r="K21" s="54">
        <v>0</v>
      </c>
    </row>
    <row r="22" spans="1:11" ht="14.25" thickBot="1" thickTop="1">
      <c r="A22" s="147"/>
      <c r="B22" s="147">
        <v>63095</v>
      </c>
      <c r="C22" s="148" t="s">
        <v>175</v>
      </c>
      <c r="D22" s="83">
        <f>E22+K22</f>
        <v>23000</v>
      </c>
      <c r="E22" s="83">
        <f>F22+G22+H22+J22</f>
        <v>23000</v>
      </c>
      <c r="F22" s="83">
        <v>0</v>
      </c>
      <c r="G22" s="83">
        <v>23000</v>
      </c>
      <c r="H22" s="83">
        <v>0</v>
      </c>
      <c r="I22" s="83">
        <v>0</v>
      </c>
      <c r="J22" s="83">
        <v>0</v>
      </c>
      <c r="K22" s="83">
        <v>0</v>
      </c>
    </row>
    <row r="23" spans="1:11" ht="14.25" thickBot="1" thickTop="1">
      <c r="A23" s="137">
        <v>700</v>
      </c>
      <c r="B23" s="137"/>
      <c r="C23" s="142" t="s">
        <v>8</v>
      </c>
      <c r="D23" s="54">
        <f aca="true" t="shared" si="0" ref="D23:D51">E23+K23</f>
        <v>366000</v>
      </c>
      <c r="E23" s="54">
        <f aca="true" t="shared" si="1" ref="E23:E29">F23+G23+H23+J23</f>
        <v>366000</v>
      </c>
      <c r="F23" s="54">
        <v>0</v>
      </c>
      <c r="G23" s="87">
        <f>G24</f>
        <v>366000</v>
      </c>
      <c r="H23" s="54">
        <v>0</v>
      </c>
      <c r="I23" s="54">
        <v>0</v>
      </c>
      <c r="J23" s="54">
        <v>0</v>
      </c>
      <c r="K23" s="54">
        <v>0</v>
      </c>
    </row>
    <row r="24" spans="1:11" ht="14.25" thickBot="1" thickTop="1">
      <c r="A24" s="147"/>
      <c r="B24" s="147">
        <v>70005</v>
      </c>
      <c r="C24" s="148" t="s">
        <v>57</v>
      </c>
      <c r="D24" s="83">
        <f t="shared" si="0"/>
        <v>366000</v>
      </c>
      <c r="E24" s="83">
        <f t="shared" si="1"/>
        <v>366000</v>
      </c>
      <c r="F24" s="83">
        <v>0</v>
      </c>
      <c r="G24" s="83">
        <f>361000+5000</f>
        <v>366000</v>
      </c>
      <c r="H24" s="83">
        <v>0</v>
      </c>
      <c r="I24" s="83">
        <v>0</v>
      </c>
      <c r="J24" s="83">
        <v>0</v>
      </c>
      <c r="K24" s="83">
        <v>0</v>
      </c>
    </row>
    <row r="25" spans="1:11" ht="14.25" thickBot="1" thickTop="1">
      <c r="A25" s="137">
        <v>710</v>
      </c>
      <c r="B25" s="137"/>
      <c r="C25" s="142" t="s">
        <v>9</v>
      </c>
      <c r="D25" s="54">
        <f t="shared" si="0"/>
        <v>389600</v>
      </c>
      <c r="E25" s="54">
        <f>F25+G25+H25+J25</f>
        <v>389600</v>
      </c>
      <c r="F25" s="54">
        <f>F27+F28+F29+F30+F26</f>
        <v>196223</v>
      </c>
      <c r="G25" s="54">
        <f>G27+G28+G29+G30+G26</f>
        <v>101377</v>
      </c>
      <c r="H25" s="54">
        <f>H27+H28+H29+H30+H26</f>
        <v>92000</v>
      </c>
      <c r="I25" s="54">
        <v>0</v>
      </c>
      <c r="J25" s="54">
        <f>J27+J28+J29+J30+J26</f>
        <v>0</v>
      </c>
      <c r="K25" s="54">
        <f>K27+K28+K29+K30+K26</f>
        <v>0</v>
      </c>
    </row>
    <row r="26" spans="1:11" ht="26.25" thickTop="1">
      <c r="A26" s="139"/>
      <c r="B26" s="139">
        <v>71012</v>
      </c>
      <c r="C26" s="141" t="s">
        <v>176</v>
      </c>
      <c r="D26" s="81">
        <f>E26+K26</f>
        <v>92000</v>
      </c>
      <c r="E26" s="81">
        <f>F26+G26+H26+J26</f>
        <v>92000</v>
      </c>
      <c r="F26" s="81">
        <v>0</v>
      </c>
      <c r="G26" s="81">
        <v>0</v>
      </c>
      <c r="H26" s="81">
        <v>92000</v>
      </c>
      <c r="I26" s="81">
        <v>0</v>
      </c>
      <c r="J26" s="81">
        <v>0</v>
      </c>
      <c r="K26" s="81">
        <v>0</v>
      </c>
    </row>
    <row r="27" spans="1:11" ht="25.5">
      <c r="A27" s="139"/>
      <c r="B27" s="139">
        <v>71013</v>
      </c>
      <c r="C27" s="141" t="s">
        <v>60</v>
      </c>
      <c r="D27" s="81">
        <f t="shared" si="0"/>
        <v>66000</v>
      </c>
      <c r="E27" s="81">
        <f t="shared" si="1"/>
        <v>66000</v>
      </c>
      <c r="F27" s="81">
        <v>0</v>
      </c>
      <c r="G27" s="81">
        <v>66000</v>
      </c>
      <c r="H27" s="81">
        <v>0</v>
      </c>
      <c r="I27" s="81">
        <v>0</v>
      </c>
      <c r="J27" s="81">
        <v>0</v>
      </c>
      <c r="K27" s="81">
        <v>0</v>
      </c>
    </row>
    <row r="28" spans="1:11" ht="12.75">
      <c r="A28" s="149"/>
      <c r="B28" s="149">
        <v>71014</v>
      </c>
      <c r="C28" s="150" t="s">
        <v>61</v>
      </c>
      <c r="D28" s="80">
        <f t="shared" si="0"/>
        <v>18000</v>
      </c>
      <c r="E28" s="80">
        <f t="shared" si="1"/>
        <v>18000</v>
      </c>
      <c r="F28" s="80">
        <v>0</v>
      </c>
      <c r="G28" s="80">
        <v>18000</v>
      </c>
      <c r="H28" s="80">
        <v>0</v>
      </c>
      <c r="I28" s="80">
        <v>0</v>
      </c>
      <c r="J28" s="80">
        <v>0</v>
      </c>
      <c r="K28" s="80">
        <v>0</v>
      </c>
    </row>
    <row r="29" spans="1:11" ht="12.75">
      <c r="A29" s="149"/>
      <c r="B29" s="149">
        <v>71015</v>
      </c>
      <c r="C29" s="150" t="s">
        <v>177</v>
      </c>
      <c r="D29" s="80">
        <f t="shared" si="0"/>
        <v>210600</v>
      </c>
      <c r="E29" s="80">
        <f t="shared" si="1"/>
        <v>210600</v>
      </c>
      <c r="F29" s="80">
        <v>196223</v>
      </c>
      <c r="G29" s="80">
        <v>14377</v>
      </c>
      <c r="H29" s="80">
        <v>0</v>
      </c>
      <c r="I29" s="80">
        <v>0</v>
      </c>
      <c r="J29" s="80">
        <v>0</v>
      </c>
      <c r="K29" s="80"/>
    </row>
    <row r="30" spans="1:11" ht="13.5" thickBot="1">
      <c r="A30" s="149"/>
      <c r="B30" s="149">
        <v>71095</v>
      </c>
      <c r="C30" s="150" t="s">
        <v>175</v>
      </c>
      <c r="D30" s="80">
        <f>E30+K30</f>
        <v>3000</v>
      </c>
      <c r="E30" s="80">
        <f>F30+G30+H30+J30</f>
        <v>3000</v>
      </c>
      <c r="F30" s="80">
        <v>0</v>
      </c>
      <c r="G30" s="80">
        <v>3000</v>
      </c>
      <c r="H30" s="80">
        <v>0</v>
      </c>
      <c r="I30" s="80">
        <v>0</v>
      </c>
      <c r="J30" s="80">
        <v>0</v>
      </c>
      <c r="K30" s="80"/>
    </row>
    <row r="31" spans="1:11" s="45" customFormat="1" ht="14.25" thickBot="1" thickTop="1">
      <c r="A31" s="137">
        <v>750</v>
      </c>
      <c r="B31" s="137"/>
      <c r="C31" s="142" t="s">
        <v>63</v>
      </c>
      <c r="D31" s="54">
        <f t="shared" si="0"/>
        <v>4856405</v>
      </c>
      <c r="E31" s="54">
        <f aca="true" t="shared" si="2" ref="E31:E44">F31+G31+H31+J31</f>
        <v>4511405</v>
      </c>
      <c r="F31" s="87">
        <f>F32+F33+F34+F35+F36</f>
        <v>2907792</v>
      </c>
      <c r="G31" s="87">
        <f>G32+G33+G34+G35+G36</f>
        <v>1603613</v>
      </c>
      <c r="H31" s="54">
        <f>H32+H33+H34+H35+H36</f>
        <v>0</v>
      </c>
      <c r="I31" s="54">
        <v>0</v>
      </c>
      <c r="J31" s="54">
        <f>J32+J33+J34+J35</f>
        <v>0</v>
      </c>
      <c r="K31" s="54">
        <f>K32+K33+K34+K35</f>
        <v>345000</v>
      </c>
    </row>
    <row r="32" spans="1:11" ht="13.5" thickTop="1">
      <c r="A32" s="139"/>
      <c r="B32" s="139">
        <v>75011</v>
      </c>
      <c r="C32" s="141" t="s">
        <v>64</v>
      </c>
      <c r="D32" s="81">
        <f>E32+K32</f>
        <v>99500</v>
      </c>
      <c r="E32" s="81">
        <f t="shared" si="2"/>
        <v>99500</v>
      </c>
      <c r="F32" s="81">
        <v>97287</v>
      </c>
      <c r="G32" s="81">
        <v>2213</v>
      </c>
      <c r="H32" s="81">
        <v>0</v>
      </c>
      <c r="I32" s="81">
        <v>0</v>
      </c>
      <c r="J32" s="81">
        <v>0</v>
      </c>
      <c r="K32" s="81">
        <v>0</v>
      </c>
    </row>
    <row r="33" spans="1:11" ht="12.75">
      <c r="A33" s="149"/>
      <c r="B33" s="149">
        <v>75019</v>
      </c>
      <c r="C33" s="150" t="s">
        <v>178</v>
      </c>
      <c r="D33" s="80">
        <f t="shared" si="0"/>
        <v>224000</v>
      </c>
      <c r="E33" s="80">
        <f t="shared" si="2"/>
        <v>224000</v>
      </c>
      <c r="F33" s="80">
        <v>0</v>
      </c>
      <c r="G33" s="80">
        <v>224000</v>
      </c>
      <c r="H33" s="80">
        <v>0</v>
      </c>
      <c r="I33" s="80">
        <v>0</v>
      </c>
      <c r="J33" s="80">
        <v>0</v>
      </c>
      <c r="K33" s="80">
        <v>0</v>
      </c>
    </row>
    <row r="34" spans="1:11" ht="12.75">
      <c r="A34" s="149"/>
      <c r="B34" s="149">
        <v>75020</v>
      </c>
      <c r="C34" s="150" t="s">
        <v>65</v>
      </c>
      <c r="D34" s="80">
        <f t="shared" si="0"/>
        <v>4472905</v>
      </c>
      <c r="E34" s="80">
        <f t="shared" si="2"/>
        <v>4127905</v>
      </c>
      <c r="F34" s="80">
        <v>2803505</v>
      </c>
      <c r="G34" s="80">
        <v>1324400</v>
      </c>
      <c r="H34" s="80">
        <v>0</v>
      </c>
      <c r="I34" s="80">
        <v>0</v>
      </c>
      <c r="J34" s="80">
        <v>0</v>
      </c>
      <c r="K34" s="80">
        <f>795000-700000+250000</f>
        <v>345000</v>
      </c>
    </row>
    <row r="35" spans="1:11" ht="12.75">
      <c r="A35" s="145"/>
      <c r="B35" s="145">
        <v>75045</v>
      </c>
      <c r="C35" s="146" t="s">
        <v>179</v>
      </c>
      <c r="D35" s="84">
        <f t="shared" si="0"/>
        <v>15000</v>
      </c>
      <c r="E35" s="84">
        <f t="shared" si="2"/>
        <v>15000</v>
      </c>
      <c r="F35" s="84">
        <v>7000</v>
      </c>
      <c r="G35" s="84">
        <f>7000+1000</f>
        <v>8000</v>
      </c>
      <c r="H35" s="84">
        <v>0</v>
      </c>
      <c r="I35" s="84">
        <v>0</v>
      </c>
      <c r="J35" s="84">
        <v>0</v>
      </c>
      <c r="K35" s="84">
        <v>0</v>
      </c>
    </row>
    <row r="36" spans="1:11" ht="30" customHeight="1" thickBot="1">
      <c r="A36" s="149"/>
      <c r="B36" s="149">
        <v>75075</v>
      </c>
      <c r="C36" s="150" t="s">
        <v>180</v>
      </c>
      <c r="D36" s="84">
        <f t="shared" si="0"/>
        <v>45000</v>
      </c>
      <c r="E36" s="84">
        <f t="shared" si="2"/>
        <v>45000</v>
      </c>
      <c r="F36" s="80">
        <v>0</v>
      </c>
      <c r="G36" s="80">
        <v>45000</v>
      </c>
      <c r="H36" s="80">
        <v>0</v>
      </c>
      <c r="I36" s="80">
        <v>0</v>
      </c>
      <c r="J36" s="80">
        <v>0</v>
      </c>
      <c r="K36" s="80">
        <v>0</v>
      </c>
    </row>
    <row r="37" spans="1:11" ht="27" thickBot="1" thickTop="1">
      <c r="A37" s="137">
        <v>754</v>
      </c>
      <c r="B37" s="137"/>
      <c r="C37" s="142" t="s">
        <v>10</v>
      </c>
      <c r="D37" s="54">
        <f t="shared" si="0"/>
        <v>2433600</v>
      </c>
      <c r="E37" s="54">
        <f t="shared" si="2"/>
        <v>2433600</v>
      </c>
      <c r="F37" s="54">
        <f>F38+F39</f>
        <v>1724867</v>
      </c>
      <c r="G37" s="54">
        <f>G38+G39</f>
        <v>708733</v>
      </c>
      <c r="H37" s="54">
        <f>H38+H39</f>
        <v>0</v>
      </c>
      <c r="I37" s="54">
        <v>0</v>
      </c>
      <c r="J37" s="54">
        <f>J38+J39</f>
        <v>0</v>
      </c>
      <c r="K37" s="54">
        <f>K38+K39</f>
        <v>0</v>
      </c>
    </row>
    <row r="38" spans="1:11" ht="26.25" thickTop="1">
      <c r="A38" s="139"/>
      <c r="B38" s="139">
        <v>75411</v>
      </c>
      <c r="C38" s="141" t="s">
        <v>181</v>
      </c>
      <c r="D38" s="81">
        <f t="shared" si="0"/>
        <v>2373600</v>
      </c>
      <c r="E38" s="81">
        <f t="shared" si="2"/>
        <v>2373600</v>
      </c>
      <c r="F38" s="81">
        <v>1724867</v>
      </c>
      <c r="G38" s="81">
        <v>648733</v>
      </c>
      <c r="H38" s="81">
        <v>0</v>
      </c>
      <c r="I38" s="81">
        <v>0</v>
      </c>
      <c r="J38" s="81">
        <v>0</v>
      </c>
      <c r="K38" s="81">
        <v>0</v>
      </c>
    </row>
    <row r="39" spans="1:11" ht="13.5" thickBot="1">
      <c r="A39" s="145"/>
      <c r="B39" s="145">
        <v>75495</v>
      </c>
      <c r="C39" s="146" t="s">
        <v>175</v>
      </c>
      <c r="D39" s="84">
        <f t="shared" si="0"/>
        <v>60000</v>
      </c>
      <c r="E39" s="84">
        <f t="shared" si="2"/>
        <v>60000</v>
      </c>
      <c r="F39" s="84">
        <v>0</v>
      </c>
      <c r="G39" s="84">
        <v>60000</v>
      </c>
      <c r="H39" s="84">
        <v>0</v>
      </c>
      <c r="I39" s="84">
        <v>0</v>
      </c>
      <c r="J39" s="84">
        <v>0</v>
      </c>
      <c r="K39" s="84">
        <f>40000-40000</f>
        <v>0</v>
      </c>
    </row>
    <row r="40" spans="1:11" ht="14.25" thickBot="1" thickTop="1">
      <c r="A40" s="137">
        <v>757</v>
      </c>
      <c r="B40" s="137"/>
      <c r="C40" s="142" t="s">
        <v>11</v>
      </c>
      <c r="D40" s="54">
        <f t="shared" si="0"/>
        <v>961400</v>
      </c>
      <c r="E40" s="54">
        <f>F40+G40+H40+J40+I40</f>
        <v>961400</v>
      </c>
      <c r="F40" s="54">
        <f aca="true" t="shared" si="3" ref="F40:K40">F41+F42</f>
        <v>0</v>
      </c>
      <c r="G40" s="54">
        <f t="shared" si="3"/>
        <v>0</v>
      </c>
      <c r="H40" s="54">
        <f t="shared" si="3"/>
        <v>0</v>
      </c>
      <c r="I40" s="54">
        <f t="shared" si="3"/>
        <v>216000</v>
      </c>
      <c r="J40" s="54">
        <f t="shared" si="3"/>
        <v>745400</v>
      </c>
      <c r="K40" s="54">
        <f t="shared" si="3"/>
        <v>0</v>
      </c>
    </row>
    <row r="41" spans="1:11" ht="40.5" customHeight="1" thickTop="1">
      <c r="A41" s="151"/>
      <c r="B41" s="151">
        <v>75702</v>
      </c>
      <c r="C41" s="152" t="s">
        <v>317</v>
      </c>
      <c r="D41" s="153">
        <f t="shared" si="0"/>
        <v>745400</v>
      </c>
      <c r="E41" s="394">
        <f>F41+G41+H41+J41+I41</f>
        <v>745400</v>
      </c>
      <c r="F41" s="153">
        <v>0</v>
      </c>
      <c r="G41" s="153">
        <v>0</v>
      </c>
      <c r="H41" s="153">
        <v>0</v>
      </c>
      <c r="I41" s="153">
        <v>0</v>
      </c>
      <c r="J41" s="153">
        <f>961400-216000</f>
        <v>745400</v>
      </c>
      <c r="K41" s="153">
        <v>0</v>
      </c>
    </row>
    <row r="42" spans="1:11" ht="38.25">
      <c r="A42" s="139"/>
      <c r="B42" s="139">
        <v>75704</v>
      </c>
      <c r="C42" s="141" t="s">
        <v>308</v>
      </c>
      <c r="D42" s="81">
        <f>E42+K42</f>
        <v>216000</v>
      </c>
      <c r="E42" s="80">
        <f>F42+G42+H42+J42+I42</f>
        <v>216000</v>
      </c>
      <c r="F42" s="81">
        <f>SUM(F43)</f>
        <v>0</v>
      </c>
      <c r="G42" s="81">
        <f>SUM(G43)</f>
        <v>0</v>
      </c>
      <c r="H42" s="81">
        <f>SUM(H43)</f>
        <v>0</v>
      </c>
      <c r="I42" s="81">
        <v>216000</v>
      </c>
      <c r="J42" s="81">
        <v>0</v>
      </c>
      <c r="K42" s="81">
        <f>SUM(K43)</f>
        <v>0</v>
      </c>
    </row>
    <row r="43" spans="1:11" ht="32.25" customHeight="1" thickBot="1">
      <c r="A43" s="149"/>
      <c r="B43" s="149"/>
      <c r="C43" s="404" t="s">
        <v>182</v>
      </c>
      <c r="D43" s="80">
        <f>E43+K43</f>
        <v>216000</v>
      </c>
      <c r="E43" s="81">
        <f>F43+G43+H43+J43+I43</f>
        <v>216000</v>
      </c>
      <c r="F43" s="80">
        <v>0</v>
      </c>
      <c r="G43" s="80">
        <v>0</v>
      </c>
      <c r="H43" s="80">
        <v>0</v>
      </c>
      <c r="I43" s="80">
        <v>216000</v>
      </c>
      <c r="J43" s="80">
        <v>0</v>
      </c>
      <c r="K43" s="80">
        <v>0</v>
      </c>
    </row>
    <row r="44" spans="1:11" ht="14.25" thickBot="1" thickTop="1">
      <c r="A44" s="137">
        <v>758</v>
      </c>
      <c r="B44" s="137"/>
      <c r="C44" s="142" t="s">
        <v>12</v>
      </c>
      <c r="D44" s="54">
        <f t="shared" si="0"/>
        <v>1508794</v>
      </c>
      <c r="E44" s="54">
        <f t="shared" si="2"/>
        <v>653794</v>
      </c>
      <c r="F44" s="54">
        <f>F45</f>
        <v>426000</v>
      </c>
      <c r="G44" s="54">
        <f>G45</f>
        <v>227794</v>
      </c>
      <c r="H44" s="54">
        <f>H45</f>
        <v>0</v>
      </c>
      <c r="I44" s="54">
        <v>0</v>
      </c>
      <c r="J44" s="54">
        <f>J45</f>
        <v>0</v>
      </c>
      <c r="K44" s="54">
        <f>K45</f>
        <v>855000</v>
      </c>
    </row>
    <row r="45" spans="1:11" ht="13.5" thickTop="1">
      <c r="A45" s="147"/>
      <c r="B45" s="147">
        <v>75818</v>
      </c>
      <c r="C45" s="148" t="s">
        <v>183</v>
      </c>
      <c r="D45" s="153">
        <f>E45+K45</f>
        <v>1508794</v>
      </c>
      <c r="E45" s="83">
        <f aca="true" t="shared" si="4" ref="E45:K45">E46+E47</f>
        <v>653794</v>
      </c>
      <c r="F45" s="83">
        <f t="shared" si="4"/>
        <v>426000</v>
      </c>
      <c r="G45" s="83">
        <f t="shared" si="4"/>
        <v>227794</v>
      </c>
      <c r="H45" s="83">
        <f t="shared" si="4"/>
        <v>0</v>
      </c>
      <c r="I45" s="83">
        <v>0</v>
      </c>
      <c r="J45" s="83">
        <f t="shared" si="4"/>
        <v>0</v>
      </c>
      <c r="K45" s="83">
        <f t="shared" si="4"/>
        <v>855000</v>
      </c>
    </row>
    <row r="46" spans="1:11" ht="12.75">
      <c r="A46" s="149"/>
      <c r="B46" s="149"/>
      <c r="C46" s="154" t="s">
        <v>309</v>
      </c>
      <c r="D46" s="81">
        <f>E46+K46</f>
        <v>272794</v>
      </c>
      <c r="E46" s="80">
        <f>F46+G46+H46+J46</f>
        <v>217794</v>
      </c>
      <c r="F46" s="80">
        <v>0</v>
      </c>
      <c r="G46" s="80">
        <f>282794-65000</f>
        <v>217794</v>
      </c>
      <c r="H46" s="80">
        <v>0</v>
      </c>
      <c r="I46" s="80">
        <v>0</v>
      </c>
      <c r="J46" s="80">
        <v>0</v>
      </c>
      <c r="K46" s="80">
        <f>90000-35000</f>
        <v>55000</v>
      </c>
    </row>
    <row r="47" spans="1:11" ht="12.75">
      <c r="A47" s="147"/>
      <c r="B47" s="147"/>
      <c r="C47" s="405" t="s">
        <v>184</v>
      </c>
      <c r="D47" s="83">
        <f>E47+K47</f>
        <v>1236000</v>
      </c>
      <c r="E47" s="83">
        <f>F47+G47+H47+J47</f>
        <v>436000</v>
      </c>
      <c r="F47" s="83">
        <v>426000</v>
      </c>
      <c r="G47" s="83">
        <v>10000</v>
      </c>
      <c r="H47" s="83">
        <f>SUM(H48:H48)</f>
        <v>0</v>
      </c>
      <c r="I47" s="83">
        <v>0</v>
      </c>
      <c r="J47" s="83">
        <f>SUM(J48:J48)</f>
        <v>0</v>
      </c>
      <c r="K47" s="83">
        <f>300000+500000</f>
        <v>800000</v>
      </c>
    </row>
    <row r="48" spans="1:11" ht="24.75" thickBot="1">
      <c r="A48" s="149"/>
      <c r="B48" s="149"/>
      <c r="C48" s="155" t="s">
        <v>185</v>
      </c>
      <c r="D48" s="80">
        <f>E48</f>
        <v>10000</v>
      </c>
      <c r="E48" s="80">
        <f>F48+G48+H48+J48</f>
        <v>10000</v>
      </c>
      <c r="F48" s="80">
        <v>0</v>
      </c>
      <c r="G48" s="80">
        <v>10000</v>
      </c>
      <c r="H48" s="80">
        <v>0</v>
      </c>
      <c r="I48" s="80">
        <v>0</v>
      </c>
      <c r="J48" s="80">
        <v>0</v>
      </c>
      <c r="K48" s="80">
        <v>0</v>
      </c>
    </row>
    <row r="49" spans="1:11" ht="14.25" thickBot="1" thickTop="1">
      <c r="A49" s="137">
        <v>801</v>
      </c>
      <c r="B49" s="137"/>
      <c r="C49" s="142" t="s">
        <v>94</v>
      </c>
      <c r="D49" s="54">
        <f>E49+K49</f>
        <v>7660168</v>
      </c>
      <c r="E49" s="54">
        <f aca="true" t="shared" si="5" ref="E49:E58">F49+G49+H49+J49</f>
        <v>7660168</v>
      </c>
      <c r="F49" s="54">
        <f>F50+F51+F52+F53+F54+F55+F56+F57+F58+F59</f>
        <v>5140113</v>
      </c>
      <c r="G49" s="54">
        <f>G50+G51+G52+G53+G54+G55+G56+G57+G58+G59</f>
        <v>907771</v>
      </c>
      <c r="H49" s="54">
        <f>H50+H51+H52+H53+H54+H55+H56+H57+H58+H59</f>
        <v>1612284</v>
      </c>
      <c r="I49" s="54">
        <v>0</v>
      </c>
      <c r="J49" s="54">
        <f>J50+J51+J52+J53+J54+J55+J56+J57+J58+J59</f>
        <v>0</v>
      </c>
      <c r="K49" s="54">
        <f>K50+K51+K52+K53+K54+K55+K56+K57+K58+K59</f>
        <v>0</v>
      </c>
    </row>
    <row r="50" spans="1:11" ht="13.5" thickTop="1">
      <c r="A50" s="139"/>
      <c r="B50" s="139">
        <v>80102</v>
      </c>
      <c r="C50" s="141" t="s">
        <v>95</v>
      </c>
      <c r="D50" s="81">
        <f t="shared" si="0"/>
        <v>362711</v>
      </c>
      <c r="E50" s="81">
        <f t="shared" si="5"/>
        <v>362711</v>
      </c>
      <c r="F50" s="81">
        <v>326283</v>
      </c>
      <c r="G50" s="81">
        <v>36428</v>
      </c>
      <c r="H50" s="81">
        <v>0</v>
      </c>
      <c r="I50" s="81">
        <v>0</v>
      </c>
      <c r="J50" s="81">
        <v>0</v>
      </c>
      <c r="K50" s="81">
        <v>0</v>
      </c>
    </row>
    <row r="51" spans="1:11" ht="12.75">
      <c r="A51" s="149"/>
      <c r="B51" s="149">
        <v>80111</v>
      </c>
      <c r="C51" s="150" t="s">
        <v>96</v>
      </c>
      <c r="D51" s="80">
        <f t="shared" si="0"/>
        <v>406322</v>
      </c>
      <c r="E51" s="80">
        <f t="shared" si="5"/>
        <v>406322</v>
      </c>
      <c r="F51" s="80">
        <v>359624</v>
      </c>
      <c r="G51" s="80">
        <v>46698</v>
      </c>
      <c r="H51" s="80">
        <v>0</v>
      </c>
      <c r="I51" s="80">
        <v>0</v>
      </c>
      <c r="J51" s="80">
        <v>0</v>
      </c>
      <c r="K51" s="80"/>
    </row>
    <row r="52" spans="1:11" ht="12.75">
      <c r="A52" s="149"/>
      <c r="B52" s="149">
        <v>80120</v>
      </c>
      <c r="C52" s="150" t="s">
        <v>97</v>
      </c>
      <c r="D52" s="80">
        <f>E52+K52</f>
        <v>1910788</v>
      </c>
      <c r="E52" s="80">
        <f>F52+G52+H52+J52</f>
        <v>1910788</v>
      </c>
      <c r="F52" s="80">
        <v>1490792</v>
      </c>
      <c r="G52" s="80">
        <v>261324</v>
      </c>
      <c r="H52" s="80">
        <v>158672</v>
      </c>
      <c r="I52" s="80">
        <v>0</v>
      </c>
      <c r="J52" s="80">
        <v>0</v>
      </c>
      <c r="K52" s="80">
        <v>0</v>
      </c>
    </row>
    <row r="53" spans="1:11" ht="12.75">
      <c r="A53" s="149"/>
      <c r="B53" s="149">
        <v>80123</v>
      </c>
      <c r="C53" s="150" t="s">
        <v>186</v>
      </c>
      <c r="D53" s="80">
        <f aca="true" t="shared" si="6" ref="D53:D58">E53+K53</f>
        <v>186161</v>
      </c>
      <c r="E53" s="80">
        <f t="shared" si="5"/>
        <v>186161</v>
      </c>
      <c r="F53" s="80">
        <v>153117</v>
      </c>
      <c r="G53" s="80">
        <v>33044</v>
      </c>
      <c r="H53" s="80">
        <v>0</v>
      </c>
      <c r="I53" s="80">
        <v>0</v>
      </c>
      <c r="J53" s="80">
        <v>0</v>
      </c>
      <c r="K53" s="80">
        <v>0</v>
      </c>
    </row>
    <row r="54" spans="1:11" ht="12.75">
      <c r="A54" s="149"/>
      <c r="B54" s="149">
        <v>80130</v>
      </c>
      <c r="C54" s="150" t="s">
        <v>99</v>
      </c>
      <c r="D54" s="80">
        <f t="shared" si="6"/>
        <v>2966396</v>
      </c>
      <c r="E54" s="80">
        <f>F54+G54+H54+J54</f>
        <v>2966396</v>
      </c>
      <c r="F54" s="80">
        <v>2442470</v>
      </c>
      <c r="G54" s="80">
        <v>419398</v>
      </c>
      <c r="H54" s="80">
        <v>104528</v>
      </c>
      <c r="I54" s="80">
        <v>0</v>
      </c>
      <c r="J54" s="80">
        <v>0</v>
      </c>
      <c r="K54" s="80">
        <v>0</v>
      </c>
    </row>
    <row r="55" spans="1:11" ht="12.75">
      <c r="A55" s="149"/>
      <c r="B55" s="149">
        <v>80134</v>
      </c>
      <c r="C55" s="150" t="s">
        <v>103</v>
      </c>
      <c r="D55" s="80">
        <f t="shared" si="6"/>
        <v>358622</v>
      </c>
      <c r="E55" s="80">
        <f t="shared" si="5"/>
        <v>358622</v>
      </c>
      <c r="F55" s="80">
        <v>330982</v>
      </c>
      <c r="G55" s="80">
        <v>27640</v>
      </c>
      <c r="H55" s="80">
        <v>0</v>
      </c>
      <c r="I55" s="80">
        <v>0</v>
      </c>
      <c r="J55" s="80">
        <v>0</v>
      </c>
      <c r="K55" s="80">
        <v>0</v>
      </c>
    </row>
    <row r="56" spans="1:11" ht="38.25">
      <c r="A56" s="149"/>
      <c r="B56" s="149">
        <v>80140</v>
      </c>
      <c r="C56" s="150" t="s">
        <v>187</v>
      </c>
      <c r="D56" s="80">
        <f t="shared" si="6"/>
        <v>32700</v>
      </c>
      <c r="E56" s="80">
        <f t="shared" si="5"/>
        <v>32700</v>
      </c>
      <c r="F56" s="80">
        <v>21100</v>
      </c>
      <c r="G56" s="80">
        <v>11600</v>
      </c>
      <c r="H56" s="80">
        <v>0</v>
      </c>
      <c r="I56" s="80">
        <v>0</v>
      </c>
      <c r="J56" s="80">
        <v>0</v>
      </c>
      <c r="K56" s="80">
        <v>0</v>
      </c>
    </row>
    <row r="57" spans="1:11" ht="12.75">
      <c r="A57" s="149"/>
      <c r="B57" s="149">
        <v>80144</v>
      </c>
      <c r="C57" s="150" t="s">
        <v>188</v>
      </c>
      <c r="D57" s="80">
        <f t="shared" si="6"/>
        <v>1349084</v>
      </c>
      <c r="E57" s="80">
        <f t="shared" si="5"/>
        <v>1349084</v>
      </c>
      <c r="F57" s="80">
        <v>0</v>
      </c>
      <c r="G57" s="80">
        <v>0</v>
      </c>
      <c r="H57" s="80">
        <v>1349084</v>
      </c>
      <c r="I57" s="80">
        <v>0</v>
      </c>
      <c r="J57" s="80">
        <v>0</v>
      </c>
      <c r="K57" s="80">
        <v>0</v>
      </c>
    </row>
    <row r="58" spans="1:11" ht="12.75">
      <c r="A58" s="149"/>
      <c r="B58" s="149">
        <v>80146</v>
      </c>
      <c r="C58" s="150" t="s">
        <v>189</v>
      </c>
      <c r="D58" s="80">
        <f t="shared" si="6"/>
        <v>49364</v>
      </c>
      <c r="E58" s="80">
        <f t="shared" si="5"/>
        <v>49364</v>
      </c>
      <c r="F58" s="80">
        <v>0</v>
      </c>
      <c r="G58" s="80">
        <v>49364</v>
      </c>
      <c r="H58" s="80">
        <v>0</v>
      </c>
      <c r="I58" s="80">
        <v>0</v>
      </c>
      <c r="J58" s="80">
        <v>0</v>
      </c>
      <c r="K58" s="80">
        <v>0</v>
      </c>
    </row>
    <row r="59" spans="1:11" ht="13.5" thickBot="1">
      <c r="A59" s="149"/>
      <c r="B59" s="149">
        <v>80195</v>
      </c>
      <c r="C59" s="150" t="s">
        <v>175</v>
      </c>
      <c r="D59" s="80">
        <f>E59+K59</f>
        <v>38020</v>
      </c>
      <c r="E59" s="80">
        <f>F59+G59+H59+J59</f>
        <v>38020</v>
      </c>
      <c r="F59" s="80">
        <v>15745</v>
      </c>
      <c r="G59" s="80">
        <v>22275</v>
      </c>
      <c r="H59" s="80">
        <v>0</v>
      </c>
      <c r="I59" s="80">
        <v>0</v>
      </c>
      <c r="J59" s="80">
        <v>0</v>
      </c>
      <c r="K59" s="80">
        <v>0</v>
      </c>
    </row>
    <row r="60" spans="1:11" ht="14.25" thickBot="1" thickTop="1">
      <c r="A60" s="137">
        <v>851</v>
      </c>
      <c r="B60" s="137"/>
      <c r="C60" s="142" t="s">
        <v>13</v>
      </c>
      <c r="D60" s="54">
        <f aca="true" t="shared" si="7" ref="D60:D66">E60+K60</f>
        <v>2152000</v>
      </c>
      <c r="E60" s="54">
        <f>F60+G60+H60+J60+I60</f>
        <v>2152000</v>
      </c>
      <c r="F60" s="54">
        <f aca="true" t="shared" si="8" ref="F60:K60">F61+F62</f>
        <v>11000</v>
      </c>
      <c r="G60" s="54">
        <f t="shared" si="8"/>
        <v>2141000</v>
      </c>
      <c r="H60" s="54">
        <f t="shared" si="8"/>
        <v>0</v>
      </c>
      <c r="I60" s="54">
        <f t="shared" si="8"/>
        <v>0</v>
      </c>
      <c r="J60" s="54">
        <f t="shared" si="8"/>
        <v>0</v>
      </c>
      <c r="K60" s="54">
        <f t="shared" si="8"/>
        <v>0</v>
      </c>
    </row>
    <row r="61" spans="1:11" ht="39" thickTop="1">
      <c r="A61" s="139"/>
      <c r="B61" s="139">
        <v>85156</v>
      </c>
      <c r="C61" s="141" t="s">
        <v>105</v>
      </c>
      <c r="D61" s="81">
        <f>E61+K61</f>
        <v>1127000</v>
      </c>
      <c r="E61" s="81">
        <f>F61+G61+H61+J61+I61</f>
        <v>1127000</v>
      </c>
      <c r="F61" s="81">
        <v>0</v>
      </c>
      <c r="G61" s="81">
        <v>1127000</v>
      </c>
      <c r="H61" s="81">
        <v>0</v>
      </c>
      <c r="I61" s="81">
        <v>0</v>
      </c>
      <c r="J61" s="81">
        <v>0</v>
      </c>
      <c r="K61" s="81">
        <v>0</v>
      </c>
    </row>
    <row r="62" spans="1:11" ht="13.5" thickBot="1">
      <c r="A62" s="149"/>
      <c r="B62" s="149">
        <v>85195</v>
      </c>
      <c r="C62" s="150" t="s">
        <v>175</v>
      </c>
      <c r="D62" s="80">
        <f t="shared" si="7"/>
        <v>1025000</v>
      </c>
      <c r="E62" s="80">
        <f>SUM(F62:J62)</f>
        <v>1025000</v>
      </c>
      <c r="F62" s="80">
        <v>11000</v>
      </c>
      <c r="G62" s="80">
        <v>1014000</v>
      </c>
      <c r="H62" s="80">
        <v>0</v>
      </c>
      <c r="I62" s="80">
        <v>0</v>
      </c>
      <c r="J62" s="80">
        <v>0</v>
      </c>
      <c r="K62" s="80">
        <v>0</v>
      </c>
    </row>
    <row r="63" spans="1:11" s="45" customFormat="1" ht="14.25" thickBot="1" thickTop="1">
      <c r="A63" s="406">
        <v>852</v>
      </c>
      <c r="B63" s="407"/>
      <c r="C63" s="142" t="s">
        <v>109</v>
      </c>
      <c r="D63" s="54">
        <f>E63+K63</f>
        <v>5316370</v>
      </c>
      <c r="E63" s="54">
        <f aca="true" t="shared" si="9" ref="E63:E71">F63+G63+H63+J63</f>
        <v>5080370</v>
      </c>
      <c r="F63" s="54">
        <f>F64+F65+F66+F67+F68</f>
        <v>2948079</v>
      </c>
      <c r="G63" s="54">
        <f>G64+G65+G66+G67+G68</f>
        <v>1884691</v>
      </c>
      <c r="H63" s="54">
        <f>H64+H65+H66+H67+H68</f>
        <v>247600</v>
      </c>
      <c r="I63" s="54">
        <v>0</v>
      </c>
      <c r="J63" s="54">
        <f>J64+J65+J66+J67+J68</f>
        <v>0</v>
      </c>
      <c r="K63" s="54">
        <f>K64+K65+K66+K67+K68</f>
        <v>236000</v>
      </c>
    </row>
    <row r="64" spans="1:11" ht="13.5" thickTop="1">
      <c r="A64" s="139"/>
      <c r="B64" s="139">
        <v>85201</v>
      </c>
      <c r="C64" s="141" t="s">
        <v>190</v>
      </c>
      <c r="D64" s="81">
        <f>E64+K64</f>
        <v>1762080</v>
      </c>
      <c r="E64" s="81">
        <f t="shared" si="9"/>
        <v>1662080</v>
      </c>
      <c r="F64" s="81">
        <v>896380</v>
      </c>
      <c r="G64" s="81">
        <v>518100</v>
      </c>
      <c r="H64" s="81">
        <v>247600</v>
      </c>
      <c r="I64" s="81">
        <v>0</v>
      </c>
      <c r="J64" s="81">
        <v>0</v>
      </c>
      <c r="K64" s="81">
        <v>100000</v>
      </c>
    </row>
    <row r="65" spans="1:11" ht="12.75">
      <c r="A65" s="149"/>
      <c r="B65" s="149">
        <v>85202</v>
      </c>
      <c r="C65" s="150" t="s">
        <v>114</v>
      </c>
      <c r="D65" s="80">
        <f>E65+K65</f>
        <v>2556825</v>
      </c>
      <c r="E65" s="80">
        <f t="shared" si="9"/>
        <v>2430825</v>
      </c>
      <c r="F65" s="80">
        <f>1648488+180000</f>
        <v>1828488</v>
      </c>
      <c r="G65" s="80">
        <v>602337</v>
      </c>
      <c r="H65" s="80">
        <v>0</v>
      </c>
      <c r="I65" s="80">
        <v>0</v>
      </c>
      <c r="J65" s="80">
        <v>0</v>
      </c>
      <c r="K65" s="80">
        <v>126000</v>
      </c>
    </row>
    <row r="66" spans="1:11" ht="12.75">
      <c r="A66" s="373"/>
      <c r="B66" s="149">
        <v>85204</v>
      </c>
      <c r="C66" s="150" t="s">
        <v>191</v>
      </c>
      <c r="D66" s="62">
        <f t="shared" si="7"/>
        <v>750000</v>
      </c>
      <c r="E66" s="62">
        <f t="shared" si="9"/>
        <v>750000</v>
      </c>
      <c r="F66" s="62">
        <v>0</v>
      </c>
      <c r="G66" s="62">
        <v>750000</v>
      </c>
      <c r="H66" s="62">
        <v>0</v>
      </c>
      <c r="I66" s="62">
        <v>0</v>
      </c>
      <c r="J66" s="62">
        <v>0</v>
      </c>
      <c r="K66" s="62">
        <v>0</v>
      </c>
    </row>
    <row r="67" spans="1:11" ht="12.75">
      <c r="A67" s="149"/>
      <c r="B67" s="149">
        <v>85218</v>
      </c>
      <c r="C67" s="150" t="s">
        <v>192</v>
      </c>
      <c r="D67" s="80">
        <f>E67+K67</f>
        <v>244465</v>
      </c>
      <c r="E67" s="80">
        <f t="shared" si="9"/>
        <v>234465</v>
      </c>
      <c r="F67" s="80">
        <v>223211</v>
      </c>
      <c r="G67" s="80">
        <v>11254</v>
      </c>
      <c r="H67" s="80">
        <v>0</v>
      </c>
      <c r="I67" s="80">
        <v>0</v>
      </c>
      <c r="J67" s="80">
        <v>0</v>
      </c>
      <c r="K67" s="80">
        <v>10000</v>
      </c>
    </row>
    <row r="68" spans="1:11" ht="39" thickBot="1">
      <c r="A68" s="149"/>
      <c r="B68" s="149">
        <v>85220</v>
      </c>
      <c r="C68" s="150" t="s">
        <v>116</v>
      </c>
      <c r="D68" s="80">
        <f>E68+K68</f>
        <v>3000</v>
      </c>
      <c r="E68" s="80">
        <f t="shared" si="9"/>
        <v>3000</v>
      </c>
      <c r="F68" s="80"/>
      <c r="G68" s="80">
        <v>3000</v>
      </c>
      <c r="H68" s="80">
        <v>0</v>
      </c>
      <c r="I68" s="80">
        <v>0</v>
      </c>
      <c r="J68" s="80">
        <v>0</v>
      </c>
      <c r="K68" s="80">
        <v>0</v>
      </c>
    </row>
    <row r="69" spans="1:11" ht="27" thickBot="1" thickTop="1">
      <c r="A69" s="137">
        <v>853</v>
      </c>
      <c r="B69" s="137"/>
      <c r="C69" s="142" t="s">
        <v>18</v>
      </c>
      <c r="D69" s="54">
        <f>E69+K69</f>
        <v>1094348</v>
      </c>
      <c r="E69" s="54">
        <f t="shared" si="9"/>
        <v>1094348</v>
      </c>
      <c r="F69" s="54">
        <f>F71+F72+F70</f>
        <v>951707</v>
      </c>
      <c r="G69" s="54">
        <f>G71+G72+G70</f>
        <v>95693</v>
      </c>
      <c r="H69" s="54">
        <f>H71+H72+H70</f>
        <v>46948</v>
      </c>
      <c r="I69" s="54">
        <v>0</v>
      </c>
      <c r="J69" s="54">
        <f>J71+J72+J70</f>
        <v>0</v>
      </c>
      <c r="K69" s="54">
        <f>K71+K72</f>
        <v>0</v>
      </c>
    </row>
    <row r="70" spans="1:11" ht="26.25" thickTop="1">
      <c r="A70" s="156"/>
      <c r="B70" s="151">
        <v>85311</v>
      </c>
      <c r="C70" s="152" t="s">
        <v>193</v>
      </c>
      <c r="D70" s="153">
        <f>E70+K70</f>
        <v>46948</v>
      </c>
      <c r="E70" s="153">
        <f t="shared" si="9"/>
        <v>46948</v>
      </c>
      <c r="F70" s="153"/>
      <c r="G70" s="153"/>
      <c r="H70" s="153">
        <v>46948</v>
      </c>
      <c r="I70" s="153">
        <v>0</v>
      </c>
      <c r="J70" s="153">
        <v>0</v>
      </c>
      <c r="K70" s="153">
        <v>0</v>
      </c>
    </row>
    <row r="71" spans="1:11" ht="25.5">
      <c r="A71" s="139"/>
      <c r="B71" s="139">
        <v>85321</v>
      </c>
      <c r="C71" s="141" t="s">
        <v>117</v>
      </c>
      <c r="D71" s="81">
        <f>E71+K71</f>
        <v>44000</v>
      </c>
      <c r="E71" s="81">
        <f t="shared" si="9"/>
        <v>44000</v>
      </c>
      <c r="F71" s="81">
        <v>40307</v>
      </c>
      <c r="G71" s="81">
        <v>3693</v>
      </c>
      <c r="H71" s="81">
        <v>0</v>
      </c>
      <c r="I71" s="81">
        <v>0</v>
      </c>
      <c r="J71" s="81">
        <v>0</v>
      </c>
      <c r="K71" s="81">
        <v>0</v>
      </c>
    </row>
    <row r="72" spans="1:11" ht="13.5" thickBot="1">
      <c r="A72" s="157"/>
      <c r="B72" s="145">
        <v>85333</v>
      </c>
      <c r="C72" s="146" t="s">
        <v>194</v>
      </c>
      <c r="D72" s="84">
        <f aca="true" t="shared" si="10" ref="D72:D82">E72+K72</f>
        <v>1003400</v>
      </c>
      <c r="E72" s="84">
        <f aca="true" t="shared" si="11" ref="E72:E82">F72+G72+H72+J72</f>
        <v>1003400</v>
      </c>
      <c r="F72" s="84">
        <v>911400</v>
      </c>
      <c r="G72" s="84">
        <v>92000</v>
      </c>
      <c r="H72" s="84">
        <v>0</v>
      </c>
      <c r="I72" s="84">
        <v>0</v>
      </c>
      <c r="J72" s="84">
        <v>0</v>
      </c>
      <c r="K72" s="84">
        <v>0</v>
      </c>
    </row>
    <row r="73" spans="1:11" ht="14.25" thickBot="1" thickTop="1">
      <c r="A73" s="137">
        <v>854</v>
      </c>
      <c r="B73" s="137"/>
      <c r="C73" s="142" t="s">
        <v>14</v>
      </c>
      <c r="D73" s="54">
        <f>E73+K73</f>
        <v>2115157</v>
      </c>
      <c r="E73" s="54">
        <f>F73+G73+H73+J73</f>
        <v>2115157</v>
      </c>
      <c r="F73" s="54">
        <f>F74+F75+F76+F77</f>
        <v>1652115</v>
      </c>
      <c r="G73" s="54">
        <f>G74+G75+G76+G77</f>
        <v>463042</v>
      </c>
      <c r="H73" s="54">
        <f>H74+H75+H76+H77</f>
        <v>0</v>
      </c>
      <c r="I73" s="54">
        <v>0</v>
      </c>
      <c r="J73" s="54">
        <f>J74+J75+J76+J77</f>
        <v>0</v>
      </c>
      <c r="K73" s="54">
        <f>K74+K75+K76+K77</f>
        <v>0</v>
      </c>
    </row>
    <row r="74" spans="1:11" ht="13.5" thickTop="1">
      <c r="A74" s="139"/>
      <c r="B74" s="139">
        <v>85403</v>
      </c>
      <c r="C74" s="141" t="s">
        <v>195</v>
      </c>
      <c r="D74" s="81">
        <f t="shared" si="10"/>
        <v>1173983</v>
      </c>
      <c r="E74" s="81">
        <f>F74+G74+H74+J74</f>
        <v>1173983</v>
      </c>
      <c r="F74" s="81">
        <v>940150</v>
      </c>
      <c r="G74" s="81">
        <v>233833</v>
      </c>
      <c r="H74" s="81">
        <v>0</v>
      </c>
      <c r="I74" s="81">
        <v>0</v>
      </c>
      <c r="J74" s="81">
        <v>0</v>
      </c>
      <c r="K74" s="81"/>
    </row>
    <row r="75" spans="1:11" ht="25.5">
      <c r="A75" s="149"/>
      <c r="B75" s="149">
        <v>85406</v>
      </c>
      <c r="C75" s="150" t="s">
        <v>196</v>
      </c>
      <c r="D75" s="80">
        <f t="shared" si="10"/>
        <v>432643</v>
      </c>
      <c r="E75" s="80">
        <f t="shared" si="11"/>
        <v>432643</v>
      </c>
      <c r="F75" s="80">
        <v>379769</v>
      </c>
      <c r="G75" s="80">
        <v>52874</v>
      </c>
      <c r="H75" s="80">
        <v>0</v>
      </c>
      <c r="I75" s="80">
        <v>0</v>
      </c>
      <c r="J75" s="80">
        <v>0</v>
      </c>
      <c r="K75" s="80">
        <v>0</v>
      </c>
    </row>
    <row r="76" spans="1:11" ht="12.75">
      <c r="A76" s="149"/>
      <c r="B76" s="149">
        <v>85407</v>
      </c>
      <c r="C76" s="150" t="s">
        <v>197</v>
      </c>
      <c r="D76" s="80">
        <f t="shared" si="10"/>
        <v>205410</v>
      </c>
      <c r="E76" s="80">
        <f t="shared" si="11"/>
        <v>205410</v>
      </c>
      <c r="F76" s="80">
        <v>170410</v>
      </c>
      <c r="G76" s="80">
        <v>35000</v>
      </c>
      <c r="H76" s="80">
        <v>0</v>
      </c>
      <c r="I76" s="80">
        <v>0</v>
      </c>
      <c r="J76" s="80">
        <v>0</v>
      </c>
      <c r="K76" s="80">
        <v>0</v>
      </c>
    </row>
    <row r="77" spans="1:11" ht="13.5" thickBot="1">
      <c r="A77" s="149"/>
      <c r="B77" s="149">
        <v>85410</v>
      </c>
      <c r="C77" s="150" t="s">
        <v>123</v>
      </c>
      <c r="D77" s="80">
        <f t="shared" si="10"/>
        <v>303121</v>
      </c>
      <c r="E77" s="80">
        <f t="shared" si="11"/>
        <v>303121</v>
      </c>
      <c r="F77" s="80">
        <v>161786</v>
      </c>
      <c r="G77" s="80">
        <v>141335</v>
      </c>
      <c r="H77" s="80">
        <v>0</v>
      </c>
      <c r="I77" s="80">
        <v>0</v>
      </c>
      <c r="J77" s="80">
        <v>0</v>
      </c>
      <c r="K77" s="80">
        <v>0</v>
      </c>
    </row>
    <row r="78" spans="1:11" ht="27" thickBot="1" thickTop="1">
      <c r="A78" s="158">
        <v>921</v>
      </c>
      <c r="B78" s="158"/>
      <c r="C78" s="159" t="s">
        <v>28</v>
      </c>
      <c r="D78" s="54">
        <f t="shared" si="10"/>
        <v>40000</v>
      </c>
      <c r="E78" s="54">
        <f t="shared" si="11"/>
        <v>40000</v>
      </c>
      <c r="F78" s="54">
        <f>F79+F80</f>
        <v>0</v>
      </c>
      <c r="G78" s="54">
        <f>G79+G80</f>
        <v>18000</v>
      </c>
      <c r="H78" s="54">
        <f>H79+H80</f>
        <v>22000</v>
      </c>
      <c r="I78" s="54">
        <v>0</v>
      </c>
      <c r="J78" s="54">
        <f>J79+J80</f>
        <v>0</v>
      </c>
      <c r="K78" s="54">
        <f>K79+K80</f>
        <v>0</v>
      </c>
    </row>
    <row r="79" spans="1:11" ht="13.5" thickTop="1">
      <c r="A79" s="139"/>
      <c r="B79" s="139">
        <v>92116</v>
      </c>
      <c r="C79" s="141" t="s">
        <v>198</v>
      </c>
      <c r="D79" s="81">
        <f t="shared" si="10"/>
        <v>22000</v>
      </c>
      <c r="E79" s="81">
        <f t="shared" si="11"/>
        <v>22000</v>
      </c>
      <c r="F79" s="81">
        <v>0</v>
      </c>
      <c r="G79" s="81">
        <v>0</v>
      </c>
      <c r="H79" s="81">
        <v>22000</v>
      </c>
      <c r="I79" s="81">
        <v>0</v>
      </c>
      <c r="J79" s="81">
        <v>0</v>
      </c>
      <c r="K79" s="81">
        <v>0</v>
      </c>
    </row>
    <row r="80" spans="1:11" ht="13.5" thickBot="1">
      <c r="A80" s="145"/>
      <c r="B80" s="145">
        <v>92195</v>
      </c>
      <c r="C80" s="146" t="s">
        <v>175</v>
      </c>
      <c r="D80" s="84">
        <f t="shared" si="10"/>
        <v>18000</v>
      </c>
      <c r="E80" s="84">
        <f t="shared" si="11"/>
        <v>18000</v>
      </c>
      <c r="F80" s="84">
        <v>0</v>
      </c>
      <c r="G80" s="84">
        <v>18000</v>
      </c>
      <c r="H80" s="84">
        <v>0</v>
      </c>
      <c r="I80" s="84">
        <v>0</v>
      </c>
      <c r="J80" s="84">
        <v>0</v>
      </c>
      <c r="K80" s="84">
        <v>0</v>
      </c>
    </row>
    <row r="81" spans="1:11" ht="14.25" thickBot="1" thickTop="1">
      <c r="A81" s="137">
        <v>926</v>
      </c>
      <c r="B81" s="137"/>
      <c r="C81" s="142" t="s">
        <v>29</v>
      </c>
      <c r="D81" s="54">
        <f t="shared" si="10"/>
        <v>50000</v>
      </c>
      <c r="E81" s="54">
        <f t="shared" si="11"/>
        <v>50000</v>
      </c>
      <c r="F81" s="54">
        <f>F82</f>
        <v>0</v>
      </c>
      <c r="G81" s="54">
        <f>G82</f>
        <v>50000</v>
      </c>
      <c r="H81" s="54">
        <f>H82</f>
        <v>0</v>
      </c>
      <c r="I81" s="54">
        <v>0</v>
      </c>
      <c r="J81" s="54">
        <f>J82</f>
        <v>0</v>
      </c>
      <c r="K81" s="54">
        <f>K829</f>
        <v>0</v>
      </c>
    </row>
    <row r="82" spans="1:11" ht="14.25" thickBot="1" thickTop="1">
      <c r="A82" s="139"/>
      <c r="B82" s="139">
        <v>92695</v>
      </c>
      <c r="C82" s="141" t="s">
        <v>175</v>
      </c>
      <c r="D82" s="81">
        <f t="shared" si="10"/>
        <v>50000</v>
      </c>
      <c r="E82" s="81">
        <f t="shared" si="11"/>
        <v>50000</v>
      </c>
      <c r="F82" s="81">
        <v>0</v>
      </c>
      <c r="G82" s="81">
        <v>50000</v>
      </c>
      <c r="H82" s="81">
        <v>0</v>
      </c>
      <c r="I82" s="81">
        <v>0</v>
      </c>
      <c r="J82" s="81">
        <v>0</v>
      </c>
      <c r="K82" s="81">
        <v>0</v>
      </c>
    </row>
    <row r="83" spans="1:11" ht="13.5" thickBot="1">
      <c r="A83" s="473" t="s">
        <v>199</v>
      </c>
      <c r="B83" s="473"/>
      <c r="C83" s="473"/>
      <c r="D83" s="408">
        <f aca="true" t="shared" si="12" ref="D83:K83">D73+D69+D63+D60+D49+D44+D40+D37+D31+D25+D23+D19+D16+D14+D21+D78+D81</f>
        <v>31074842</v>
      </c>
      <c r="E83" s="408">
        <f t="shared" si="12"/>
        <v>28918062</v>
      </c>
      <c r="F83" s="408">
        <f t="shared" si="12"/>
        <v>16394369</v>
      </c>
      <c r="G83" s="408">
        <f t="shared" si="12"/>
        <v>9501461</v>
      </c>
      <c r="H83" s="408">
        <f t="shared" si="12"/>
        <v>2060832</v>
      </c>
      <c r="I83" s="408">
        <f t="shared" si="12"/>
        <v>216000</v>
      </c>
      <c r="J83" s="408">
        <f t="shared" si="12"/>
        <v>745400</v>
      </c>
      <c r="K83" s="408">
        <f t="shared" si="12"/>
        <v>2156780</v>
      </c>
    </row>
    <row r="85" ht="12.75">
      <c r="D85" s="372"/>
    </row>
    <row r="86" ht="12.75">
      <c r="D86" s="372"/>
    </row>
  </sheetData>
  <mergeCells count="13">
    <mergeCell ref="A83:C83"/>
    <mergeCell ref="E9:K9"/>
    <mergeCell ref="E10:J10"/>
    <mergeCell ref="K10:K12"/>
    <mergeCell ref="E11:E12"/>
    <mergeCell ref="F11:J11"/>
    <mergeCell ref="A5:K5"/>
    <mergeCell ref="A6:K6"/>
    <mergeCell ref="A7:K7"/>
    <mergeCell ref="A9:A12"/>
    <mergeCell ref="B9:B12"/>
    <mergeCell ref="C9:C12"/>
    <mergeCell ref="D9:D12"/>
  </mergeCells>
  <printOptions horizontalCentered="1"/>
  <pageMargins left="0.7874015748031497" right="0.7874015748031497" top="0.55" bottom="0.7874015748031497" header="1.11" footer="0.5118110236220472"/>
  <pageSetup horizontalDpi="600" verticalDpi="600" orientation="landscape" paperSize="9" scale="82" r:id="rId1"/>
  <rowBreaks count="2" manualBreakCount="2">
    <brk id="34" max="255" man="1"/>
    <brk id="60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72"/>
  <sheetViews>
    <sheetView zoomScale="75" zoomScaleNormal="75" workbookViewId="0" topLeftCell="A22">
      <selection activeCell="C34" sqref="C34"/>
    </sheetView>
  </sheetViews>
  <sheetFormatPr defaultColWidth="9.00390625" defaultRowHeight="12.75"/>
  <cols>
    <col min="1" max="1" width="7.875" style="0" customWidth="1"/>
    <col min="2" max="2" width="9.875" style="0" customWidth="1"/>
    <col min="3" max="3" width="45.75390625" style="0" bestFit="1" customWidth="1"/>
    <col min="4" max="4" width="12.125" style="0" customWidth="1"/>
    <col min="5" max="5" width="12.00390625" style="0" bestFit="1" customWidth="1"/>
    <col min="6" max="6" width="13.00390625" style="0" customWidth="1"/>
    <col min="7" max="8" width="10.875" style="0" bestFit="1" customWidth="1"/>
    <col min="9" max="9" width="10.875" style="0" customWidth="1"/>
    <col min="10" max="10" width="10.375" style="0" customWidth="1"/>
    <col min="11" max="11" width="11.375" style="0" customWidth="1"/>
  </cols>
  <sheetData>
    <row r="1" spans="6:10" ht="12.75">
      <c r="F1" s="45"/>
      <c r="G1" s="45"/>
      <c r="H1" s="45"/>
      <c r="I1" s="45"/>
      <c r="J1" t="s">
        <v>200</v>
      </c>
    </row>
    <row r="2" spans="6:10" ht="12.75">
      <c r="F2" s="45"/>
      <c r="G2" s="45"/>
      <c r="H2" s="45"/>
      <c r="I2" s="45"/>
      <c r="J2" s="44" t="s">
        <v>311</v>
      </c>
    </row>
    <row r="3" spans="6:10" ht="12.75">
      <c r="F3" s="45"/>
      <c r="G3" s="45"/>
      <c r="H3" s="45"/>
      <c r="I3" s="45"/>
      <c r="J3" s="44" t="s">
        <v>21</v>
      </c>
    </row>
    <row r="4" spans="6:10" ht="12.75">
      <c r="F4" s="45"/>
      <c r="G4" s="45"/>
      <c r="H4" s="45"/>
      <c r="I4" s="45"/>
      <c r="J4" s="43" t="s">
        <v>312</v>
      </c>
    </row>
    <row r="5" spans="6:9" ht="12.75">
      <c r="F5" s="45"/>
      <c r="G5" s="45"/>
      <c r="H5" s="45"/>
      <c r="I5" s="45"/>
    </row>
    <row r="6" spans="1:11" ht="15.75" customHeight="1">
      <c r="A6" s="480" t="s">
        <v>157</v>
      </c>
      <c r="B6" s="469"/>
      <c r="C6" s="469"/>
      <c r="D6" s="469"/>
      <c r="E6" s="469"/>
      <c r="F6" s="469"/>
      <c r="G6" s="469"/>
      <c r="H6" s="469"/>
      <c r="I6" s="469"/>
      <c r="J6" s="469"/>
      <c r="K6" s="469"/>
    </row>
    <row r="7" spans="1:11" ht="15.75" customHeight="1">
      <c r="A7" s="480" t="s">
        <v>201</v>
      </c>
      <c r="B7" s="469"/>
      <c r="C7" s="469"/>
      <c r="D7" s="469"/>
      <c r="E7" s="469"/>
      <c r="F7" s="469"/>
      <c r="G7" s="469"/>
      <c r="H7" s="469"/>
      <c r="I7" s="469"/>
      <c r="J7" s="469"/>
      <c r="K7" s="469"/>
    </row>
    <row r="8" spans="6:11" ht="15.75" customHeight="1">
      <c r="F8" s="45"/>
      <c r="G8" s="45"/>
      <c r="H8" s="45"/>
      <c r="I8" s="45"/>
      <c r="K8" s="97" t="s">
        <v>36</v>
      </c>
    </row>
    <row r="9" spans="1:11" ht="18" customHeight="1">
      <c r="A9" s="481" t="s">
        <v>0</v>
      </c>
      <c r="B9" s="481" t="s">
        <v>159</v>
      </c>
      <c r="C9" s="482" t="s">
        <v>40</v>
      </c>
      <c r="D9" s="482" t="s">
        <v>160</v>
      </c>
      <c r="E9" s="483" t="s">
        <v>202</v>
      </c>
      <c r="F9" s="484"/>
      <c r="G9" s="484"/>
      <c r="H9" s="484"/>
      <c r="I9" s="484"/>
      <c r="J9" s="484"/>
      <c r="K9" s="485"/>
    </row>
    <row r="10" spans="1:11" ht="16.5" customHeight="1">
      <c r="A10" s="481"/>
      <c r="B10" s="481"/>
      <c r="C10" s="482"/>
      <c r="D10" s="482"/>
      <c r="E10" s="481" t="s">
        <v>162</v>
      </c>
      <c r="F10" s="481"/>
      <c r="G10" s="481"/>
      <c r="H10" s="481"/>
      <c r="I10" s="481"/>
      <c r="J10" s="481"/>
      <c r="K10" s="482" t="s">
        <v>203</v>
      </c>
    </row>
    <row r="11" spans="1:11" ht="12.75">
      <c r="A11" s="481"/>
      <c r="B11" s="481"/>
      <c r="C11" s="482"/>
      <c r="D11" s="482"/>
      <c r="E11" s="481" t="s">
        <v>15</v>
      </c>
      <c r="F11" s="486" t="s">
        <v>204</v>
      </c>
      <c r="G11" s="486"/>
      <c r="H11" s="486"/>
      <c r="I11" s="486"/>
      <c r="J11" s="486"/>
      <c r="K11" s="482"/>
    </row>
    <row r="12" spans="1:11" ht="48">
      <c r="A12" s="481"/>
      <c r="B12" s="481"/>
      <c r="C12" s="482"/>
      <c r="D12" s="482"/>
      <c r="E12" s="481"/>
      <c r="F12" s="133" t="s">
        <v>205</v>
      </c>
      <c r="G12" s="133" t="s">
        <v>206</v>
      </c>
      <c r="H12" s="161" t="s">
        <v>166</v>
      </c>
      <c r="I12" s="133" t="s">
        <v>310</v>
      </c>
      <c r="J12" s="160" t="s">
        <v>167</v>
      </c>
      <c r="K12" s="482"/>
    </row>
    <row r="13" spans="1:11" ht="13.5" thickBot="1">
      <c r="A13" s="162">
        <v>1</v>
      </c>
      <c r="B13" s="162">
        <v>2</v>
      </c>
      <c r="C13" s="162">
        <v>3</v>
      </c>
      <c r="D13" s="162">
        <v>4</v>
      </c>
      <c r="E13" s="162">
        <v>5</v>
      </c>
      <c r="F13" s="163">
        <v>6</v>
      </c>
      <c r="G13" s="163">
        <v>7</v>
      </c>
      <c r="H13" s="163">
        <v>8</v>
      </c>
      <c r="I13" s="163">
        <v>9</v>
      </c>
      <c r="J13" s="162">
        <v>10</v>
      </c>
      <c r="K13" s="162">
        <v>11</v>
      </c>
    </row>
    <row r="14" spans="1:11" ht="14.25" thickBot="1" thickTop="1">
      <c r="A14" s="164" t="s">
        <v>170</v>
      </c>
      <c r="B14" s="165"/>
      <c r="C14" s="166" t="s">
        <v>6</v>
      </c>
      <c r="D14" s="167">
        <f aca="true" t="shared" si="0" ref="D14:D26">E14+K14</f>
        <v>23000</v>
      </c>
      <c r="E14" s="167">
        <f>F14+G14+H14+J14</f>
        <v>23000</v>
      </c>
      <c r="F14" s="54">
        <f>F15+F16</f>
        <v>0</v>
      </c>
      <c r="G14" s="54">
        <f>G15+G16</f>
        <v>23000</v>
      </c>
      <c r="H14" s="54">
        <f>H15+H16</f>
        <v>0</v>
      </c>
      <c r="I14" s="54">
        <v>0</v>
      </c>
      <c r="J14" s="167">
        <f>J15+J16</f>
        <v>0</v>
      </c>
      <c r="K14" s="167">
        <f>K15+K16</f>
        <v>0</v>
      </c>
    </row>
    <row r="15" spans="1:11" ht="13.5" thickTop="1">
      <c r="A15" s="168"/>
      <c r="B15" s="108" t="s">
        <v>207</v>
      </c>
      <c r="C15" s="169" t="s">
        <v>172</v>
      </c>
      <c r="D15" s="170">
        <f t="shared" si="0"/>
        <v>18000</v>
      </c>
      <c r="E15" s="170">
        <f>F15+G15+H15+J15+K15</f>
        <v>18000</v>
      </c>
      <c r="F15" s="58">
        <v>0</v>
      </c>
      <c r="G15" s="58">
        <v>18000</v>
      </c>
      <c r="H15" s="58">
        <v>0</v>
      </c>
      <c r="I15" s="58">
        <v>0</v>
      </c>
      <c r="J15" s="170">
        <v>0</v>
      </c>
      <c r="K15" s="170">
        <v>0</v>
      </c>
    </row>
    <row r="16" spans="1:11" ht="13.5" thickBot="1">
      <c r="A16" s="171"/>
      <c r="B16" s="171" t="s">
        <v>208</v>
      </c>
      <c r="C16" s="172" t="s">
        <v>54</v>
      </c>
      <c r="D16" s="173">
        <f t="shared" si="0"/>
        <v>5000</v>
      </c>
      <c r="E16" s="173">
        <f>F16+G16+H16+J16+K16</f>
        <v>5000</v>
      </c>
      <c r="F16" s="174">
        <v>0</v>
      </c>
      <c r="G16" s="174">
        <v>5000</v>
      </c>
      <c r="H16" s="174">
        <v>0</v>
      </c>
      <c r="I16" s="174">
        <v>0</v>
      </c>
      <c r="J16" s="173">
        <v>0</v>
      </c>
      <c r="K16" s="173">
        <v>0</v>
      </c>
    </row>
    <row r="17" spans="1:11" ht="14.25" thickBot="1" thickTop="1">
      <c r="A17" s="164">
        <v>600</v>
      </c>
      <c r="B17" s="164"/>
      <c r="C17" s="166" t="s">
        <v>7</v>
      </c>
      <c r="D17" s="167">
        <f t="shared" si="0"/>
        <v>2000000</v>
      </c>
      <c r="E17" s="167">
        <f>F17+G17+H17+J17</f>
        <v>1279220</v>
      </c>
      <c r="F17" s="54">
        <f>F18</f>
        <v>436473</v>
      </c>
      <c r="G17" s="54">
        <f>G18</f>
        <v>802747</v>
      </c>
      <c r="H17" s="54">
        <f>H18</f>
        <v>40000</v>
      </c>
      <c r="I17" s="54">
        <v>0</v>
      </c>
      <c r="J17" s="167">
        <f>J18</f>
        <v>0</v>
      </c>
      <c r="K17" s="167">
        <f>K18</f>
        <v>720780</v>
      </c>
    </row>
    <row r="18" spans="1:11" ht="14.25" thickBot="1" thickTop="1">
      <c r="A18" s="47"/>
      <c r="B18" s="47">
        <v>60014</v>
      </c>
      <c r="C18" s="175" t="s">
        <v>173</v>
      </c>
      <c r="D18" s="176">
        <f t="shared" si="0"/>
        <v>2000000</v>
      </c>
      <c r="E18" s="176">
        <f>F18+G18+H18+J18</f>
        <v>1279220</v>
      </c>
      <c r="F18" s="176">
        <v>436473</v>
      </c>
      <c r="G18" s="176">
        <f>1070000+804-268057</f>
        <v>802747</v>
      </c>
      <c r="H18" s="176">
        <v>40000</v>
      </c>
      <c r="I18" s="176">
        <v>0</v>
      </c>
      <c r="J18" s="176">
        <v>0</v>
      </c>
      <c r="K18" s="176">
        <f>1720780-1000000</f>
        <v>720780</v>
      </c>
    </row>
    <row r="19" spans="1:11" ht="14.25" thickBot="1" thickTop="1">
      <c r="A19" s="164">
        <v>630</v>
      </c>
      <c r="B19" s="164"/>
      <c r="C19" s="166" t="s">
        <v>174</v>
      </c>
      <c r="D19" s="167">
        <f t="shared" si="0"/>
        <v>23000</v>
      </c>
      <c r="E19" s="167">
        <f aca="true" t="shared" si="1" ref="E19:E43">F19+G19+H19+J19</f>
        <v>23000</v>
      </c>
      <c r="F19" s="54">
        <f>F20</f>
        <v>0</v>
      </c>
      <c r="G19" s="54">
        <f>G20</f>
        <v>23000</v>
      </c>
      <c r="H19" s="54">
        <f>H20</f>
        <v>0</v>
      </c>
      <c r="I19" s="54">
        <v>0</v>
      </c>
      <c r="J19" s="167">
        <f>J20</f>
        <v>0</v>
      </c>
      <c r="K19" s="167">
        <f>K20</f>
        <v>0</v>
      </c>
    </row>
    <row r="20" spans="1:11" ht="14.25" thickBot="1" thickTop="1">
      <c r="A20" s="47"/>
      <c r="B20" s="47">
        <v>63095</v>
      </c>
      <c r="C20" s="175" t="s">
        <v>175</v>
      </c>
      <c r="D20" s="176">
        <f t="shared" si="0"/>
        <v>23000</v>
      </c>
      <c r="E20" s="176">
        <f t="shared" si="1"/>
        <v>23000</v>
      </c>
      <c r="F20" s="176">
        <v>0</v>
      </c>
      <c r="G20" s="176">
        <v>23000</v>
      </c>
      <c r="H20" s="176">
        <v>0</v>
      </c>
      <c r="I20" s="176">
        <v>0</v>
      </c>
      <c r="J20" s="176">
        <v>0</v>
      </c>
      <c r="K20" s="176">
        <v>0</v>
      </c>
    </row>
    <row r="21" spans="1:11" ht="21.75" customHeight="1" thickBot="1" thickTop="1">
      <c r="A21" s="137">
        <v>700</v>
      </c>
      <c r="B21" s="137"/>
      <c r="C21" s="142" t="s">
        <v>8</v>
      </c>
      <c r="D21" s="54">
        <f t="shared" si="0"/>
        <v>5000</v>
      </c>
      <c r="E21" s="54">
        <f t="shared" si="1"/>
        <v>5000</v>
      </c>
      <c r="F21" s="54">
        <v>0</v>
      </c>
      <c r="G21" s="87">
        <f>G22</f>
        <v>5000</v>
      </c>
      <c r="H21" s="54">
        <v>0</v>
      </c>
      <c r="I21" s="54">
        <v>0</v>
      </c>
      <c r="J21" s="54">
        <v>0</v>
      </c>
      <c r="K21" s="54">
        <v>0</v>
      </c>
    </row>
    <row r="22" spans="1:11" ht="14.25" thickBot="1" thickTop="1">
      <c r="A22" s="147"/>
      <c r="B22" s="147">
        <v>70005</v>
      </c>
      <c r="C22" s="148" t="s">
        <v>57</v>
      </c>
      <c r="D22" s="83">
        <f t="shared" si="0"/>
        <v>5000</v>
      </c>
      <c r="E22" s="83">
        <f t="shared" si="1"/>
        <v>5000</v>
      </c>
      <c r="F22" s="83">
        <v>0</v>
      </c>
      <c r="G22" s="83">
        <f>5000</f>
        <v>5000</v>
      </c>
      <c r="H22" s="83">
        <v>0</v>
      </c>
      <c r="I22" s="83">
        <v>0</v>
      </c>
      <c r="J22" s="83">
        <v>0</v>
      </c>
      <c r="K22" s="83">
        <v>0</v>
      </c>
    </row>
    <row r="23" spans="1:11" ht="14.25" thickBot="1" thickTop="1">
      <c r="A23" s="137">
        <v>710</v>
      </c>
      <c r="B23" s="137"/>
      <c r="C23" s="142" t="s">
        <v>9</v>
      </c>
      <c r="D23" s="54">
        <f t="shared" si="0"/>
        <v>95000</v>
      </c>
      <c r="E23" s="54">
        <f t="shared" si="1"/>
        <v>95000</v>
      </c>
      <c r="F23" s="54">
        <f>SUM(F25+F24)</f>
        <v>0</v>
      </c>
      <c r="G23" s="54">
        <f>SUM(G25+G24)</f>
        <v>3000</v>
      </c>
      <c r="H23" s="54">
        <f>SUM(H25+H24)</f>
        <v>92000</v>
      </c>
      <c r="I23" s="54">
        <v>0</v>
      </c>
      <c r="J23" s="54">
        <f>SUM(J25+J24)</f>
        <v>0</v>
      </c>
      <c r="K23" s="54">
        <f>SUM(K25+K24)</f>
        <v>0</v>
      </c>
    </row>
    <row r="24" spans="1:11" ht="31.5" customHeight="1" thickTop="1">
      <c r="A24" s="139"/>
      <c r="B24" s="139">
        <v>71012</v>
      </c>
      <c r="C24" s="141" t="s">
        <v>176</v>
      </c>
      <c r="D24" s="81">
        <f>E24+K24</f>
        <v>92000</v>
      </c>
      <c r="E24" s="81">
        <f>F24+G24+H24+J24</f>
        <v>92000</v>
      </c>
      <c r="F24" s="81">
        <v>0</v>
      </c>
      <c r="G24" s="81">
        <v>0</v>
      </c>
      <c r="H24" s="81">
        <v>92000</v>
      </c>
      <c r="I24" s="81">
        <v>0</v>
      </c>
      <c r="J24" s="81">
        <v>0</v>
      </c>
      <c r="K24" s="81">
        <v>0</v>
      </c>
    </row>
    <row r="25" spans="1:11" ht="13.5" thickBot="1">
      <c r="A25" s="139"/>
      <c r="B25" s="139">
        <v>71095</v>
      </c>
      <c r="C25" s="141" t="s">
        <v>175</v>
      </c>
      <c r="D25" s="81">
        <f t="shared" si="0"/>
        <v>3000</v>
      </c>
      <c r="E25" s="81">
        <f t="shared" si="1"/>
        <v>3000</v>
      </c>
      <c r="F25" s="81">
        <v>0</v>
      </c>
      <c r="G25" s="81">
        <v>3000</v>
      </c>
      <c r="H25" s="81">
        <v>0</v>
      </c>
      <c r="I25" s="81">
        <v>0</v>
      </c>
      <c r="J25" s="81">
        <v>0</v>
      </c>
      <c r="K25" s="81">
        <v>0</v>
      </c>
    </row>
    <row r="26" spans="1:11" s="45" customFormat="1" ht="14.25" thickBot="1" thickTop="1">
      <c r="A26" s="137">
        <v>750</v>
      </c>
      <c r="B26" s="137"/>
      <c r="C26" s="142" t="s">
        <v>63</v>
      </c>
      <c r="D26" s="54">
        <f t="shared" si="0"/>
        <v>4741905</v>
      </c>
      <c r="E26" s="54">
        <f t="shared" si="1"/>
        <v>4396905</v>
      </c>
      <c r="F26" s="54">
        <f>F27+F28+F29</f>
        <v>2803505</v>
      </c>
      <c r="G26" s="54">
        <f>G27+G28+G29</f>
        <v>1593400</v>
      </c>
      <c r="H26" s="54">
        <f>H27+H28+H29</f>
        <v>0</v>
      </c>
      <c r="I26" s="54">
        <v>0</v>
      </c>
      <c r="J26" s="54">
        <f>J27+J28+J29</f>
        <v>0</v>
      </c>
      <c r="K26" s="54">
        <f>K27+K28+K29</f>
        <v>345000</v>
      </c>
    </row>
    <row r="27" spans="1:11" ht="13.5" thickTop="1">
      <c r="A27" s="409"/>
      <c r="B27" s="409">
        <v>75019</v>
      </c>
      <c r="C27" s="410" t="s">
        <v>178</v>
      </c>
      <c r="D27" s="177">
        <f>E27+K27</f>
        <v>224000</v>
      </c>
      <c r="E27" s="177">
        <f t="shared" si="1"/>
        <v>224000</v>
      </c>
      <c r="F27" s="177">
        <v>0</v>
      </c>
      <c r="G27" s="81">
        <v>224000</v>
      </c>
      <c r="H27" s="177">
        <v>0</v>
      </c>
      <c r="I27" s="177">
        <v>0</v>
      </c>
      <c r="J27" s="177">
        <v>0</v>
      </c>
      <c r="K27" s="178">
        <v>0</v>
      </c>
    </row>
    <row r="28" spans="1:11" s="45" customFormat="1" ht="12.75">
      <c r="A28" s="374"/>
      <c r="B28" s="374">
        <v>75020</v>
      </c>
      <c r="C28" s="411" t="s">
        <v>65</v>
      </c>
      <c r="D28" s="174">
        <f>E28+K28</f>
        <v>4472905</v>
      </c>
      <c r="E28" s="174">
        <f t="shared" si="1"/>
        <v>4127905</v>
      </c>
      <c r="F28" s="174">
        <v>2803505</v>
      </c>
      <c r="G28" s="174">
        <v>1324400</v>
      </c>
      <c r="H28" s="174">
        <v>0</v>
      </c>
      <c r="I28" s="174">
        <v>0</v>
      </c>
      <c r="J28" s="174">
        <v>0</v>
      </c>
      <c r="K28" s="174">
        <f>795000-700000+250000</f>
        <v>345000</v>
      </c>
    </row>
    <row r="29" spans="1:11" ht="13.5" thickBot="1">
      <c r="A29" s="412"/>
      <c r="B29" s="412">
        <v>75075</v>
      </c>
      <c r="C29" s="413" t="s">
        <v>180</v>
      </c>
      <c r="D29" s="184">
        <f aca="true" t="shared" si="2" ref="D29:D39">E29+K29</f>
        <v>45000</v>
      </c>
      <c r="E29" s="184">
        <f t="shared" si="1"/>
        <v>45000</v>
      </c>
      <c r="F29" s="184">
        <v>0</v>
      </c>
      <c r="G29" s="184">
        <f>100000-55000</f>
        <v>45000</v>
      </c>
      <c r="H29" s="184">
        <v>0</v>
      </c>
      <c r="I29" s="184">
        <v>0</v>
      </c>
      <c r="J29" s="184">
        <v>0</v>
      </c>
      <c r="K29" s="184">
        <v>0</v>
      </c>
    </row>
    <row r="30" spans="1:11" ht="27.75" customHeight="1" thickBot="1" thickTop="1">
      <c r="A30" s="414">
        <v>754</v>
      </c>
      <c r="B30" s="414"/>
      <c r="C30" s="415" t="s">
        <v>10</v>
      </c>
      <c r="D30" s="79">
        <f t="shared" si="2"/>
        <v>60000</v>
      </c>
      <c r="E30" s="79">
        <f t="shared" si="1"/>
        <v>60000</v>
      </c>
      <c r="F30" s="79">
        <f>F31</f>
        <v>0</v>
      </c>
      <c r="G30" s="79">
        <f>G31</f>
        <v>60000</v>
      </c>
      <c r="H30" s="79">
        <f>H31</f>
        <v>0</v>
      </c>
      <c r="I30" s="79">
        <v>0</v>
      </c>
      <c r="J30" s="79">
        <f>J31</f>
        <v>0</v>
      </c>
      <c r="K30" s="79">
        <f>K31</f>
        <v>0</v>
      </c>
    </row>
    <row r="31" spans="1:11" ht="14.25" thickBot="1" thickTop="1">
      <c r="A31" s="416"/>
      <c r="B31" s="416">
        <v>75495</v>
      </c>
      <c r="C31" s="417" t="s">
        <v>175</v>
      </c>
      <c r="D31" s="180">
        <f t="shared" si="2"/>
        <v>60000</v>
      </c>
      <c r="E31" s="180">
        <f t="shared" si="1"/>
        <v>60000</v>
      </c>
      <c r="F31" s="180">
        <v>0</v>
      </c>
      <c r="G31" s="181">
        <v>60000</v>
      </c>
      <c r="H31" s="181">
        <v>0</v>
      </c>
      <c r="I31" s="180">
        <v>0</v>
      </c>
      <c r="J31" s="180">
        <v>0</v>
      </c>
      <c r="K31" s="180">
        <f>40000-40000</f>
        <v>0</v>
      </c>
    </row>
    <row r="32" spans="1:11" ht="14.25" thickBot="1" thickTop="1">
      <c r="A32" s="137">
        <v>757</v>
      </c>
      <c r="B32" s="137"/>
      <c r="C32" s="418" t="s">
        <v>11</v>
      </c>
      <c r="D32" s="54">
        <f t="shared" si="2"/>
        <v>961400</v>
      </c>
      <c r="E32" s="54">
        <f>F32+G32+H32+J32+I32</f>
        <v>961400</v>
      </c>
      <c r="F32" s="54">
        <f aca="true" t="shared" si="3" ref="F32:K32">SUM(F33+F34)</f>
        <v>0</v>
      </c>
      <c r="G32" s="54">
        <f t="shared" si="3"/>
        <v>0</v>
      </c>
      <c r="H32" s="54">
        <f t="shared" si="3"/>
        <v>0</v>
      </c>
      <c r="I32" s="54">
        <f t="shared" si="3"/>
        <v>216000</v>
      </c>
      <c r="J32" s="54">
        <f t="shared" si="3"/>
        <v>745400</v>
      </c>
      <c r="K32" s="54">
        <f t="shared" si="3"/>
        <v>0</v>
      </c>
    </row>
    <row r="33" spans="1:11" ht="24.75" thickTop="1">
      <c r="A33" s="419"/>
      <c r="B33" s="419">
        <v>75702</v>
      </c>
      <c r="C33" s="420" t="s">
        <v>317</v>
      </c>
      <c r="D33" s="182">
        <f t="shared" si="2"/>
        <v>745400</v>
      </c>
      <c r="E33" s="180">
        <f>F33+G33+H33+J33+I33</f>
        <v>745400</v>
      </c>
      <c r="F33" s="182">
        <v>0</v>
      </c>
      <c r="G33" s="182">
        <v>0</v>
      </c>
      <c r="H33" s="182">
        <v>0</v>
      </c>
      <c r="I33" s="182">
        <v>0</v>
      </c>
      <c r="J33" s="153">
        <f>961400-216000</f>
        <v>745400</v>
      </c>
      <c r="K33" s="182">
        <v>0</v>
      </c>
    </row>
    <row r="34" spans="1:11" s="45" customFormat="1" ht="38.25">
      <c r="A34" s="139"/>
      <c r="B34" s="139">
        <v>75704</v>
      </c>
      <c r="C34" s="141" t="s">
        <v>308</v>
      </c>
      <c r="D34" s="177">
        <f>E34+K34</f>
        <v>216000</v>
      </c>
      <c r="E34" s="179">
        <f>F34+G34+H34+J34+I34</f>
        <v>216000</v>
      </c>
      <c r="F34" s="177">
        <f>SUM(F35)</f>
        <v>0</v>
      </c>
      <c r="G34" s="177">
        <f>SUM(G35)</f>
        <v>0</v>
      </c>
      <c r="H34" s="177">
        <f>SUM(H35)</f>
        <v>0</v>
      </c>
      <c r="I34" s="177">
        <f>SUM(I35)</f>
        <v>216000</v>
      </c>
      <c r="J34" s="177">
        <v>0</v>
      </c>
      <c r="K34" s="177">
        <f>SUM(K35)</f>
        <v>0</v>
      </c>
    </row>
    <row r="35" spans="1:11" s="45" customFormat="1" ht="26.25" thickBot="1">
      <c r="A35" s="147"/>
      <c r="B35" s="147"/>
      <c r="C35" s="421" t="s">
        <v>209</v>
      </c>
      <c r="D35" s="422">
        <f>E35+K35</f>
        <v>216000</v>
      </c>
      <c r="E35" s="177">
        <f>F35+G35+H35+J35+I35</f>
        <v>216000</v>
      </c>
      <c r="F35" s="422">
        <v>0</v>
      </c>
      <c r="G35" s="422">
        <v>0</v>
      </c>
      <c r="H35" s="422">
        <v>0</v>
      </c>
      <c r="I35" s="422">
        <v>216000</v>
      </c>
      <c r="J35" s="422">
        <v>0</v>
      </c>
      <c r="K35" s="83">
        <v>0</v>
      </c>
    </row>
    <row r="36" spans="1:11" ht="14.25" thickBot="1" thickTop="1">
      <c r="A36" s="137">
        <v>758</v>
      </c>
      <c r="B36" s="137"/>
      <c r="C36" s="418" t="s">
        <v>12</v>
      </c>
      <c r="D36" s="79">
        <f t="shared" si="2"/>
        <v>1508794</v>
      </c>
      <c r="E36" s="79">
        <f t="shared" si="1"/>
        <v>653794</v>
      </c>
      <c r="F36" s="79">
        <f>SUM(F37)</f>
        <v>426000</v>
      </c>
      <c r="G36" s="79">
        <f>G37</f>
        <v>227794</v>
      </c>
      <c r="H36" s="79">
        <f>H37</f>
        <v>0</v>
      </c>
      <c r="I36" s="79">
        <v>0</v>
      </c>
      <c r="J36" s="79">
        <f>J37</f>
        <v>0</v>
      </c>
      <c r="K36" s="54">
        <f>K37</f>
        <v>855000</v>
      </c>
    </row>
    <row r="37" spans="1:11" s="45" customFormat="1" ht="13.5" thickTop="1">
      <c r="A37" s="423"/>
      <c r="B37" s="423">
        <v>75818</v>
      </c>
      <c r="C37" s="424" t="s">
        <v>183</v>
      </c>
      <c r="D37" s="176">
        <f t="shared" si="2"/>
        <v>1508794</v>
      </c>
      <c r="E37" s="176">
        <f t="shared" si="1"/>
        <v>653794</v>
      </c>
      <c r="F37" s="176">
        <f>SUM(F38+F39)</f>
        <v>426000</v>
      </c>
      <c r="G37" s="176">
        <f>SUM(G38+G39)</f>
        <v>227794</v>
      </c>
      <c r="H37" s="176">
        <f>SUM(H38+H39)</f>
        <v>0</v>
      </c>
      <c r="I37" s="176">
        <v>0</v>
      </c>
      <c r="J37" s="176">
        <f>SUM(J38+J39)</f>
        <v>0</v>
      </c>
      <c r="K37" s="176">
        <f>SUM(K38+K39)</f>
        <v>855000</v>
      </c>
    </row>
    <row r="38" spans="1:11" s="45" customFormat="1" ht="12.75">
      <c r="A38" s="183"/>
      <c r="B38" s="183"/>
      <c r="C38" s="375" t="s">
        <v>210</v>
      </c>
      <c r="D38" s="179">
        <f t="shared" si="2"/>
        <v>272794</v>
      </c>
      <c r="E38" s="179">
        <f t="shared" si="1"/>
        <v>217794</v>
      </c>
      <c r="F38" s="179">
        <v>0</v>
      </c>
      <c r="G38" s="179">
        <f>282794-65000</f>
        <v>217794</v>
      </c>
      <c r="H38" s="179">
        <v>0</v>
      </c>
      <c r="I38" s="179">
        <v>0</v>
      </c>
      <c r="J38" s="179">
        <v>0</v>
      </c>
      <c r="K38" s="179">
        <f>90000-35000</f>
        <v>55000</v>
      </c>
    </row>
    <row r="39" spans="1:11" s="45" customFormat="1" ht="12.75">
      <c r="A39" s="423"/>
      <c r="B39" s="423"/>
      <c r="C39" s="425" t="s">
        <v>184</v>
      </c>
      <c r="D39" s="176">
        <f t="shared" si="2"/>
        <v>1236000</v>
      </c>
      <c r="E39" s="176">
        <f t="shared" si="1"/>
        <v>436000</v>
      </c>
      <c r="F39" s="176">
        <v>426000</v>
      </c>
      <c r="G39" s="176">
        <v>10000</v>
      </c>
      <c r="H39" s="176">
        <f>SUM(H40)</f>
        <v>0</v>
      </c>
      <c r="I39" s="176">
        <v>0</v>
      </c>
      <c r="J39" s="176">
        <f>SUM(J40)</f>
        <v>0</v>
      </c>
      <c r="K39" s="176">
        <f>SUM(K40+300000+500000)</f>
        <v>800000</v>
      </c>
    </row>
    <row r="40" spans="1:11" ht="24.75" thickBot="1">
      <c r="A40" s="149"/>
      <c r="B40" s="149"/>
      <c r="C40" s="155" t="s">
        <v>185</v>
      </c>
      <c r="D40" s="80">
        <f>E40</f>
        <v>10000</v>
      </c>
      <c r="E40" s="80">
        <f t="shared" si="1"/>
        <v>10000</v>
      </c>
      <c r="F40" s="80">
        <v>0</v>
      </c>
      <c r="G40" s="80">
        <v>10000</v>
      </c>
      <c r="H40" s="80">
        <v>0</v>
      </c>
      <c r="I40" s="80">
        <v>0</v>
      </c>
      <c r="J40" s="80">
        <v>0</v>
      </c>
      <c r="K40" s="80">
        <v>0</v>
      </c>
    </row>
    <row r="41" spans="1:11" ht="14.25" thickBot="1" thickTop="1">
      <c r="A41" s="137">
        <v>801</v>
      </c>
      <c r="B41" s="137"/>
      <c r="C41" s="142" t="s">
        <v>94</v>
      </c>
      <c r="D41" s="54">
        <f>E41+K41</f>
        <v>7660168</v>
      </c>
      <c r="E41" s="54">
        <f t="shared" si="1"/>
        <v>7660168</v>
      </c>
      <c r="F41" s="54">
        <f>F42+F43+F44+F45+F46+F47+F49+F50+F48+F51</f>
        <v>5140113</v>
      </c>
      <c r="G41" s="54">
        <f>G42+G43+G44+G45+G46+G47+G49+G50+G48+G51</f>
        <v>907771</v>
      </c>
      <c r="H41" s="54">
        <f>H42+H43+H44+H45+H46+H47+H49+H50+H48+H51</f>
        <v>1612284</v>
      </c>
      <c r="I41" s="54">
        <v>0</v>
      </c>
      <c r="J41" s="54">
        <f>J42+J43+J44+J45+J46+J47+J49+J50+J48+J51</f>
        <v>0</v>
      </c>
      <c r="K41" s="54">
        <f>K42+K43+K44+K45+K46+K47+K49+K50+K48+K51</f>
        <v>0</v>
      </c>
    </row>
    <row r="42" spans="1:11" ht="13.5" thickTop="1">
      <c r="A42" s="409"/>
      <c r="B42" s="409">
        <v>80102</v>
      </c>
      <c r="C42" s="426" t="s">
        <v>95</v>
      </c>
      <c r="D42" s="177">
        <f>E42+K42</f>
        <v>362711</v>
      </c>
      <c r="E42" s="177">
        <f t="shared" si="1"/>
        <v>362711</v>
      </c>
      <c r="F42" s="177">
        <v>326283</v>
      </c>
      <c r="G42" s="177">
        <v>36428</v>
      </c>
      <c r="H42" s="177">
        <v>0</v>
      </c>
      <c r="I42" s="177">
        <v>0</v>
      </c>
      <c r="J42" s="177">
        <v>0</v>
      </c>
      <c r="K42" s="177">
        <v>0</v>
      </c>
    </row>
    <row r="43" spans="1:11" ht="12.75">
      <c r="A43" s="183"/>
      <c r="B43" s="183">
        <v>80111</v>
      </c>
      <c r="C43" s="376" t="s">
        <v>96</v>
      </c>
      <c r="D43" s="179">
        <f>E43+K43</f>
        <v>406322</v>
      </c>
      <c r="E43" s="179">
        <f t="shared" si="1"/>
        <v>406322</v>
      </c>
      <c r="F43" s="179">
        <v>359624</v>
      </c>
      <c r="G43" s="179">
        <v>46698</v>
      </c>
      <c r="H43" s="179">
        <v>0</v>
      </c>
      <c r="I43" s="179">
        <v>0</v>
      </c>
      <c r="J43" s="179">
        <v>0</v>
      </c>
      <c r="K43" s="179">
        <v>0</v>
      </c>
    </row>
    <row r="44" spans="1:11" ht="12.75">
      <c r="A44" s="183"/>
      <c r="B44" s="183">
        <v>80120</v>
      </c>
      <c r="C44" s="376" t="s">
        <v>97</v>
      </c>
      <c r="D44" s="179">
        <f>E44+K44</f>
        <v>1910788</v>
      </c>
      <c r="E44" s="179">
        <f>F44+G44+H44+J44</f>
        <v>1910788</v>
      </c>
      <c r="F44" s="179">
        <v>1490792</v>
      </c>
      <c r="G44" s="179">
        <v>261324</v>
      </c>
      <c r="H44" s="179">
        <v>158672</v>
      </c>
      <c r="I44" s="179">
        <v>0</v>
      </c>
      <c r="J44" s="179">
        <v>0</v>
      </c>
      <c r="K44" s="179">
        <v>0</v>
      </c>
    </row>
    <row r="45" spans="1:11" ht="12.75">
      <c r="A45" s="183"/>
      <c r="B45" s="183">
        <v>80123</v>
      </c>
      <c r="C45" s="376" t="s">
        <v>186</v>
      </c>
      <c r="D45" s="179">
        <f>E45+K45</f>
        <v>186161</v>
      </c>
      <c r="E45" s="179">
        <f>F45+G45+H45+J45</f>
        <v>186161</v>
      </c>
      <c r="F45" s="179">
        <v>153117</v>
      </c>
      <c r="G45" s="179">
        <v>33044</v>
      </c>
      <c r="H45" s="179">
        <v>0</v>
      </c>
      <c r="I45" s="179">
        <v>0</v>
      </c>
      <c r="J45" s="179">
        <v>0</v>
      </c>
      <c r="K45" s="179">
        <v>0</v>
      </c>
    </row>
    <row r="46" spans="1:11" ht="12.75">
      <c r="A46" s="183"/>
      <c r="B46" s="183">
        <v>80130</v>
      </c>
      <c r="C46" s="376" t="s">
        <v>99</v>
      </c>
      <c r="D46" s="179">
        <f>E46</f>
        <v>2966396</v>
      </c>
      <c r="E46" s="179">
        <f>F46+G46+H46</f>
        <v>2966396</v>
      </c>
      <c r="F46" s="179">
        <v>2442470</v>
      </c>
      <c r="G46" s="179">
        <v>419398</v>
      </c>
      <c r="H46" s="179">
        <v>104528</v>
      </c>
      <c r="I46" s="179">
        <v>0</v>
      </c>
      <c r="J46" s="179">
        <v>0</v>
      </c>
      <c r="K46" s="179">
        <v>0</v>
      </c>
    </row>
    <row r="47" spans="1:11" ht="12.75">
      <c r="A47" s="183"/>
      <c r="B47" s="183">
        <v>80134</v>
      </c>
      <c r="C47" s="376" t="s">
        <v>103</v>
      </c>
      <c r="D47" s="179">
        <f aca="true" t="shared" si="4" ref="D47:D56">E47+K47</f>
        <v>358622</v>
      </c>
      <c r="E47" s="179">
        <f>F47+G47+H47+J47</f>
        <v>358622</v>
      </c>
      <c r="F47" s="179">
        <v>330982</v>
      </c>
      <c r="G47" s="179">
        <v>27640</v>
      </c>
      <c r="H47" s="179">
        <v>0</v>
      </c>
      <c r="I47" s="179">
        <v>0</v>
      </c>
      <c r="J47" s="179">
        <v>0</v>
      </c>
      <c r="K47" s="179">
        <v>0</v>
      </c>
    </row>
    <row r="48" spans="1:11" ht="25.5">
      <c r="A48" s="183"/>
      <c r="B48" s="183">
        <v>80140</v>
      </c>
      <c r="C48" s="376" t="s">
        <v>187</v>
      </c>
      <c r="D48" s="179">
        <f t="shared" si="4"/>
        <v>32700</v>
      </c>
      <c r="E48" s="179">
        <f>F48+G48+H48+J48</f>
        <v>32700</v>
      </c>
      <c r="F48" s="179">
        <v>21100</v>
      </c>
      <c r="G48" s="179">
        <v>11600</v>
      </c>
      <c r="H48" s="179">
        <v>0</v>
      </c>
      <c r="I48" s="179">
        <v>0</v>
      </c>
      <c r="J48" s="179">
        <v>0</v>
      </c>
      <c r="K48" s="179">
        <v>0</v>
      </c>
    </row>
    <row r="49" spans="1:11" ht="12.75">
      <c r="A49" s="183"/>
      <c r="B49" s="183">
        <v>80144</v>
      </c>
      <c r="C49" s="376" t="s">
        <v>211</v>
      </c>
      <c r="D49" s="179">
        <f t="shared" si="4"/>
        <v>1349084</v>
      </c>
      <c r="E49" s="179">
        <f>F49+G49+H49+J49</f>
        <v>1349084</v>
      </c>
      <c r="F49" s="179">
        <v>0</v>
      </c>
      <c r="G49" s="179">
        <v>0</v>
      </c>
      <c r="H49" s="179">
        <v>1349084</v>
      </c>
      <c r="I49" s="179">
        <v>0</v>
      </c>
      <c r="J49" s="179">
        <v>0</v>
      </c>
      <c r="K49" s="179">
        <v>0</v>
      </c>
    </row>
    <row r="50" spans="1:11" ht="12.75">
      <c r="A50" s="183"/>
      <c r="B50" s="183">
        <v>80146</v>
      </c>
      <c r="C50" s="376" t="s">
        <v>189</v>
      </c>
      <c r="D50" s="179">
        <f t="shared" si="4"/>
        <v>49364</v>
      </c>
      <c r="E50" s="179">
        <f aca="true" t="shared" si="5" ref="E50:E71">F50+G50+H50+J50</f>
        <v>49364</v>
      </c>
      <c r="F50" s="179">
        <v>0</v>
      </c>
      <c r="G50" s="179">
        <v>49364</v>
      </c>
      <c r="H50" s="179">
        <v>0</v>
      </c>
      <c r="I50" s="179">
        <v>0</v>
      </c>
      <c r="J50" s="179">
        <v>0</v>
      </c>
      <c r="K50" s="179">
        <v>0</v>
      </c>
    </row>
    <row r="51" spans="1:11" ht="13.5" thickBot="1">
      <c r="A51" s="149"/>
      <c r="B51" s="149">
        <v>80195</v>
      </c>
      <c r="C51" s="150" t="s">
        <v>175</v>
      </c>
      <c r="D51" s="80">
        <f t="shared" si="4"/>
        <v>38020</v>
      </c>
      <c r="E51" s="80">
        <f t="shared" si="5"/>
        <v>38020</v>
      </c>
      <c r="F51" s="80">
        <v>15745</v>
      </c>
      <c r="G51" s="80">
        <v>22275</v>
      </c>
      <c r="H51" s="80">
        <v>0</v>
      </c>
      <c r="I51" s="80">
        <v>0</v>
      </c>
      <c r="J51" s="80">
        <v>0</v>
      </c>
      <c r="K51" s="80">
        <v>0</v>
      </c>
    </row>
    <row r="52" spans="1:11" ht="14.25" thickBot="1" thickTop="1">
      <c r="A52" s="137">
        <v>851</v>
      </c>
      <c r="B52" s="137"/>
      <c r="C52" s="142" t="s">
        <v>13</v>
      </c>
      <c r="D52" s="54">
        <f t="shared" si="4"/>
        <v>1025000</v>
      </c>
      <c r="E52" s="54">
        <f>F52+G52+H52+J52+I52</f>
        <v>1025000</v>
      </c>
      <c r="F52" s="54">
        <f aca="true" t="shared" si="6" ref="F52:K52">SUM(F53)</f>
        <v>11000</v>
      </c>
      <c r="G52" s="54">
        <f t="shared" si="6"/>
        <v>1014000</v>
      </c>
      <c r="H52" s="54">
        <f t="shared" si="6"/>
        <v>0</v>
      </c>
      <c r="I52" s="54">
        <f t="shared" si="6"/>
        <v>0</v>
      </c>
      <c r="J52" s="54">
        <f t="shared" si="6"/>
        <v>0</v>
      </c>
      <c r="K52" s="54">
        <f t="shared" si="6"/>
        <v>0</v>
      </c>
    </row>
    <row r="53" spans="1:11" ht="14.25" thickBot="1" thickTop="1">
      <c r="A53" s="409"/>
      <c r="B53" s="409">
        <v>85195</v>
      </c>
      <c r="C53" s="426" t="s">
        <v>175</v>
      </c>
      <c r="D53" s="177">
        <f t="shared" si="4"/>
        <v>1025000</v>
      </c>
      <c r="E53" s="177">
        <f>F53+G53+H53+J53+I53</f>
        <v>1025000</v>
      </c>
      <c r="F53" s="177">
        <v>11000</v>
      </c>
      <c r="G53" s="177">
        <v>1014000</v>
      </c>
      <c r="H53" s="177">
        <v>0</v>
      </c>
      <c r="I53" s="177">
        <v>0</v>
      </c>
      <c r="J53" s="177">
        <f>SUM(J54:J55)</f>
        <v>0</v>
      </c>
      <c r="K53" s="177">
        <v>0</v>
      </c>
    </row>
    <row r="54" spans="1:11" s="45" customFormat="1" ht="14.25" thickBot="1" thickTop="1">
      <c r="A54" s="137">
        <v>852</v>
      </c>
      <c r="B54" s="137"/>
      <c r="C54" s="142" t="s">
        <v>109</v>
      </c>
      <c r="D54" s="54">
        <f t="shared" si="4"/>
        <v>5313370</v>
      </c>
      <c r="E54" s="54">
        <f t="shared" si="5"/>
        <v>5077370</v>
      </c>
      <c r="F54" s="54">
        <f>F55+F56+F57+F58+F57</f>
        <v>2948079</v>
      </c>
      <c r="G54" s="54">
        <f>G55+G56+G57+G58</f>
        <v>1881691</v>
      </c>
      <c r="H54" s="54">
        <f>H55+H56+H57+H58+H57</f>
        <v>247600</v>
      </c>
      <c r="I54" s="54">
        <v>0</v>
      </c>
      <c r="J54" s="54">
        <f>J55+J56+J57+J58+J57</f>
        <v>0</v>
      </c>
      <c r="K54" s="54">
        <f>K55+K56+K57+K58+K57</f>
        <v>236000</v>
      </c>
    </row>
    <row r="55" spans="1:11" ht="13.5" thickTop="1">
      <c r="A55" s="409"/>
      <c r="B55" s="409">
        <v>85201</v>
      </c>
      <c r="C55" s="426" t="s">
        <v>212</v>
      </c>
      <c r="D55" s="177">
        <f t="shared" si="4"/>
        <v>1762080</v>
      </c>
      <c r="E55" s="177">
        <f>F55+G55+H55+J55</f>
        <v>1662080</v>
      </c>
      <c r="F55" s="177">
        <v>896380</v>
      </c>
      <c r="G55" s="177">
        <v>518100</v>
      </c>
      <c r="H55" s="177">
        <v>247600</v>
      </c>
      <c r="I55" s="177">
        <v>0</v>
      </c>
      <c r="J55" s="177">
        <v>0</v>
      </c>
      <c r="K55" s="177">
        <v>100000</v>
      </c>
    </row>
    <row r="56" spans="1:11" ht="12.75">
      <c r="A56" s="183"/>
      <c r="B56" s="183">
        <v>85202</v>
      </c>
      <c r="C56" s="150" t="s">
        <v>213</v>
      </c>
      <c r="D56" s="179">
        <f t="shared" si="4"/>
        <v>2556825</v>
      </c>
      <c r="E56" s="179">
        <f t="shared" si="5"/>
        <v>2430825</v>
      </c>
      <c r="F56" s="179">
        <f>1648488+180000</f>
        <v>1828488</v>
      </c>
      <c r="G56" s="179">
        <v>602337</v>
      </c>
      <c r="H56" s="179">
        <v>0</v>
      </c>
      <c r="I56" s="179">
        <v>0</v>
      </c>
      <c r="J56" s="179">
        <v>0</v>
      </c>
      <c r="K56" s="179">
        <v>126000</v>
      </c>
    </row>
    <row r="57" spans="1:11" s="45" customFormat="1" ht="12.75">
      <c r="A57" s="183"/>
      <c r="B57" s="183">
        <v>85204</v>
      </c>
      <c r="C57" s="376" t="s">
        <v>191</v>
      </c>
      <c r="D57" s="179">
        <f aca="true" t="shared" si="7" ref="D57:D71">E57+K57</f>
        <v>750000</v>
      </c>
      <c r="E57" s="179">
        <f t="shared" si="5"/>
        <v>750000</v>
      </c>
      <c r="F57" s="179">
        <v>0</v>
      </c>
      <c r="G57" s="179">
        <v>750000</v>
      </c>
      <c r="H57" s="179">
        <v>0</v>
      </c>
      <c r="I57" s="179">
        <v>0</v>
      </c>
      <c r="J57" s="179">
        <v>0</v>
      </c>
      <c r="K57" s="179">
        <v>0</v>
      </c>
    </row>
    <row r="58" spans="1:11" ht="13.5" thickBot="1">
      <c r="A58" s="374"/>
      <c r="B58" s="374">
        <v>85218</v>
      </c>
      <c r="C58" s="146" t="s">
        <v>192</v>
      </c>
      <c r="D58" s="174">
        <f t="shared" si="7"/>
        <v>244465</v>
      </c>
      <c r="E58" s="174">
        <f t="shared" si="5"/>
        <v>234465</v>
      </c>
      <c r="F58" s="174">
        <v>223211</v>
      </c>
      <c r="G58" s="174">
        <v>11254</v>
      </c>
      <c r="H58" s="174">
        <v>0</v>
      </c>
      <c r="I58" s="174">
        <v>0</v>
      </c>
      <c r="J58" s="174">
        <v>0</v>
      </c>
      <c r="K58" s="174">
        <v>10000</v>
      </c>
    </row>
    <row r="59" spans="1:11" ht="27" thickBot="1" thickTop="1">
      <c r="A59" s="406">
        <v>853</v>
      </c>
      <c r="B59" s="406"/>
      <c r="C59" s="427" t="s">
        <v>18</v>
      </c>
      <c r="D59" s="87">
        <f t="shared" si="7"/>
        <v>1050348</v>
      </c>
      <c r="E59" s="87">
        <f>F59+G59+H59+J59</f>
        <v>1050348</v>
      </c>
      <c r="F59" s="87">
        <f>F61+F60</f>
        <v>911400</v>
      </c>
      <c r="G59" s="87">
        <f>G61+G60</f>
        <v>92000</v>
      </c>
      <c r="H59" s="87">
        <f>H61+H60</f>
        <v>46948</v>
      </c>
      <c r="I59" s="87">
        <v>0</v>
      </c>
      <c r="J59" s="87">
        <f>J61+J60</f>
        <v>0</v>
      </c>
      <c r="K59" s="87">
        <f>K61+K60</f>
        <v>0</v>
      </c>
    </row>
    <row r="60" spans="1:11" ht="26.25" thickTop="1">
      <c r="A60" s="428"/>
      <c r="B60" s="151">
        <v>85311</v>
      </c>
      <c r="C60" s="152" t="s">
        <v>193</v>
      </c>
      <c r="D60" s="153">
        <f>SUM(K60+E60)</f>
        <v>46948</v>
      </c>
      <c r="E60" s="153">
        <f>SUM(F60:J60)</f>
        <v>46948</v>
      </c>
      <c r="F60" s="153"/>
      <c r="G60" s="153"/>
      <c r="H60" s="153">
        <v>46948</v>
      </c>
      <c r="I60" s="153">
        <v>0</v>
      </c>
      <c r="J60" s="153"/>
      <c r="K60" s="153"/>
    </row>
    <row r="61" spans="1:11" ht="13.5" thickBot="1">
      <c r="A61" s="423"/>
      <c r="B61" s="423">
        <v>85333</v>
      </c>
      <c r="C61" s="148" t="s">
        <v>194</v>
      </c>
      <c r="D61" s="176">
        <f>E61+K61</f>
        <v>1003400</v>
      </c>
      <c r="E61" s="176">
        <f t="shared" si="5"/>
        <v>1003400</v>
      </c>
      <c r="F61" s="176">
        <v>911400</v>
      </c>
      <c r="G61" s="176">
        <v>92000</v>
      </c>
      <c r="H61" s="176">
        <v>0</v>
      </c>
      <c r="I61" s="176">
        <v>0</v>
      </c>
      <c r="J61" s="176">
        <v>0</v>
      </c>
      <c r="K61" s="176">
        <v>0</v>
      </c>
    </row>
    <row r="62" spans="1:11" ht="14.25" thickBot="1" thickTop="1">
      <c r="A62" s="137">
        <v>854</v>
      </c>
      <c r="B62" s="137"/>
      <c r="C62" s="142" t="s">
        <v>14</v>
      </c>
      <c r="D62" s="54">
        <f>E62+K62</f>
        <v>2115157</v>
      </c>
      <c r="E62" s="54">
        <f>F62+G62+H62+J62</f>
        <v>2115157</v>
      </c>
      <c r="F62" s="54">
        <f>F63+F64+F65+F66</f>
        <v>1652115</v>
      </c>
      <c r="G62" s="54">
        <f>G63+G64+G65+G66</f>
        <v>463042</v>
      </c>
      <c r="H62" s="54">
        <f>H63+H64+H65+H66</f>
        <v>0</v>
      </c>
      <c r="I62" s="54">
        <v>0</v>
      </c>
      <c r="J62" s="54">
        <f>J63+J64+J65+J66</f>
        <v>0</v>
      </c>
      <c r="K62" s="54">
        <f>K63+K64+K65+K66</f>
        <v>0</v>
      </c>
    </row>
    <row r="63" spans="1:11" ht="13.5" thickTop="1">
      <c r="A63" s="409"/>
      <c r="B63" s="409">
        <v>85403</v>
      </c>
      <c r="C63" s="426" t="s">
        <v>214</v>
      </c>
      <c r="D63" s="177">
        <f t="shared" si="7"/>
        <v>1173983</v>
      </c>
      <c r="E63" s="177">
        <f t="shared" si="5"/>
        <v>1173983</v>
      </c>
      <c r="F63" s="177">
        <v>940150</v>
      </c>
      <c r="G63" s="177">
        <v>233833</v>
      </c>
      <c r="H63" s="177">
        <v>0</v>
      </c>
      <c r="I63" s="177">
        <v>0</v>
      </c>
      <c r="J63" s="177">
        <v>0</v>
      </c>
      <c r="K63" s="177">
        <v>0</v>
      </c>
    </row>
    <row r="64" spans="1:11" ht="25.5">
      <c r="A64" s="183"/>
      <c r="B64" s="183">
        <v>85406</v>
      </c>
      <c r="C64" s="376" t="s">
        <v>215</v>
      </c>
      <c r="D64" s="179">
        <f t="shared" si="7"/>
        <v>432643</v>
      </c>
      <c r="E64" s="179">
        <f t="shared" si="5"/>
        <v>432643</v>
      </c>
      <c r="F64" s="179">
        <v>379769</v>
      </c>
      <c r="G64" s="179">
        <v>52874</v>
      </c>
      <c r="H64" s="179">
        <v>0</v>
      </c>
      <c r="I64" s="179">
        <v>0</v>
      </c>
      <c r="J64" s="179">
        <v>0</v>
      </c>
      <c r="K64" s="179">
        <v>0</v>
      </c>
    </row>
    <row r="65" spans="1:11" ht="12.75">
      <c r="A65" s="183"/>
      <c r="B65" s="183">
        <v>85407</v>
      </c>
      <c r="C65" s="376" t="s">
        <v>216</v>
      </c>
      <c r="D65" s="179">
        <f t="shared" si="7"/>
        <v>205410</v>
      </c>
      <c r="E65" s="179">
        <f t="shared" si="5"/>
        <v>205410</v>
      </c>
      <c r="F65" s="179">
        <v>170410</v>
      </c>
      <c r="G65" s="179">
        <v>35000</v>
      </c>
      <c r="H65" s="179">
        <v>0</v>
      </c>
      <c r="I65" s="179">
        <v>0</v>
      </c>
      <c r="J65" s="179">
        <v>0</v>
      </c>
      <c r="K65" s="179">
        <v>0</v>
      </c>
    </row>
    <row r="66" spans="1:11" ht="13.5" thickBot="1">
      <c r="A66" s="374"/>
      <c r="B66" s="374">
        <v>85410</v>
      </c>
      <c r="C66" s="429" t="s">
        <v>123</v>
      </c>
      <c r="D66" s="174">
        <f t="shared" si="7"/>
        <v>303121</v>
      </c>
      <c r="E66" s="174">
        <f t="shared" si="5"/>
        <v>303121</v>
      </c>
      <c r="F66" s="174">
        <v>161786</v>
      </c>
      <c r="G66" s="174">
        <v>141335</v>
      </c>
      <c r="H66" s="174">
        <v>0</v>
      </c>
      <c r="I66" s="174">
        <v>0</v>
      </c>
      <c r="J66" s="174">
        <v>0</v>
      </c>
      <c r="K66" s="174">
        <v>0</v>
      </c>
    </row>
    <row r="67" spans="1:11" ht="27" thickBot="1" thickTop="1">
      <c r="A67" s="158">
        <v>921</v>
      </c>
      <c r="B67" s="158"/>
      <c r="C67" s="159" t="s">
        <v>28</v>
      </c>
      <c r="D67" s="54">
        <f t="shared" si="7"/>
        <v>40000</v>
      </c>
      <c r="E67" s="54">
        <f t="shared" si="5"/>
        <v>40000</v>
      </c>
      <c r="F67" s="54">
        <f>F68+F69</f>
        <v>0</v>
      </c>
      <c r="G67" s="54">
        <f>G68+G69</f>
        <v>18000</v>
      </c>
      <c r="H67" s="54">
        <f>H68+H69</f>
        <v>22000</v>
      </c>
      <c r="I67" s="54">
        <v>0</v>
      </c>
      <c r="J67" s="54">
        <f>J68+J69</f>
        <v>0</v>
      </c>
      <c r="K67" s="54">
        <f>K68+K69</f>
        <v>0</v>
      </c>
    </row>
    <row r="68" spans="1:11" ht="13.5" thickTop="1">
      <c r="A68" s="139"/>
      <c r="B68" s="139">
        <v>92116</v>
      </c>
      <c r="C68" s="141" t="s">
        <v>198</v>
      </c>
      <c r="D68" s="81">
        <f t="shared" si="7"/>
        <v>22000</v>
      </c>
      <c r="E68" s="81">
        <f t="shared" si="5"/>
        <v>22000</v>
      </c>
      <c r="F68" s="81">
        <v>0</v>
      </c>
      <c r="G68" s="81">
        <v>0</v>
      </c>
      <c r="H68" s="81">
        <v>22000</v>
      </c>
      <c r="I68" s="81">
        <v>0</v>
      </c>
      <c r="J68" s="81">
        <v>0</v>
      </c>
      <c r="K68" s="81">
        <v>0</v>
      </c>
    </row>
    <row r="69" spans="1:11" ht="13.5" thickBot="1">
      <c r="A69" s="145"/>
      <c r="B69" s="145">
        <v>92195</v>
      </c>
      <c r="C69" s="146" t="s">
        <v>175</v>
      </c>
      <c r="D69" s="84">
        <f t="shared" si="7"/>
        <v>18000</v>
      </c>
      <c r="E69" s="84">
        <f t="shared" si="5"/>
        <v>18000</v>
      </c>
      <c r="F69" s="84">
        <v>0</v>
      </c>
      <c r="G69" s="84">
        <v>18000</v>
      </c>
      <c r="H69" s="84">
        <v>0</v>
      </c>
      <c r="I69" s="84">
        <v>0</v>
      </c>
      <c r="J69" s="84">
        <v>0</v>
      </c>
      <c r="K69" s="84">
        <v>0</v>
      </c>
    </row>
    <row r="70" spans="1:11" ht="14.25" thickBot="1" thickTop="1">
      <c r="A70" s="137">
        <v>926</v>
      </c>
      <c r="B70" s="137"/>
      <c r="C70" s="142" t="s">
        <v>29</v>
      </c>
      <c r="D70" s="54">
        <f t="shared" si="7"/>
        <v>50000</v>
      </c>
      <c r="E70" s="54">
        <f t="shared" si="5"/>
        <v>50000</v>
      </c>
      <c r="F70" s="54">
        <f>F71</f>
        <v>0</v>
      </c>
      <c r="G70" s="54">
        <f>G71</f>
        <v>50000</v>
      </c>
      <c r="H70" s="54">
        <f>H71</f>
        <v>0</v>
      </c>
      <c r="I70" s="54">
        <v>0</v>
      </c>
      <c r="J70" s="54">
        <f>J71</f>
        <v>0</v>
      </c>
      <c r="K70" s="54">
        <f>K817</f>
        <v>0</v>
      </c>
    </row>
    <row r="71" spans="1:11" ht="14.25" thickBot="1" thickTop="1">
      <c r="A71" s="139"/>
      <c r="B71" s="139">
        <v>92695</v>
      </c>
      <c r="C71" s="141" t="s">
        <v>175</v>
      </c>
      <c r="D71" s="81">
        <f t="shared" si="7"/>
        <v>50000</v>
      </c>
      <c r="E71" s="81">
        <f t="shared" si="5"/>
        <v>50000</v>
      </c>
      <c r="F71" s="81">
        <v>0</v>
      </c>
      <c r="G71" s="81">
        <v>50000</v>
      </c>
      <c r="H71" s="81">
        <v>0</v>
      </c>
      <c r="I71" s="81">
        <v>0</v>
      </c>
      <c r="J71" s="81">
        <v>0</v>
      </c>
      <c r="K71" s="81">
        <v>0</v>
      </c>
    </row>
    <row r="72" spans="1:11" ht="13.5" thickBot="1">
      <c r="A72" s="487" t="s">
        <v>199</v>
      </c>
      <c r="B72" s="487"/>
      <c r="C72" s="487"/>
      <c r="D72" s="430">
        <f aca="true" t="shared" si="8" ref="D72:K72">D62+D54+D41+D36+D32+D26+D17+D14+D30+D59+D70+D67+D19+D21+D23+D52</f>
        <v>26672142</v>
      </c>
      <c r="E72" s="430">
        <f t="shared" si="8"/>
        <v>24515362</v>
      </c>
      <c r="F72" s="430">
        <f t="shared" si="8"/>
        <v>14328685</v>
      </c>
      <c r="G72" s="430">
        <f t="shared" si="8"/>
        <v>7164445</v>
      </c>
      <c r="H72" s="430">
        <f t="shared" si="8"/>
        <v>2060832</v>
      </c>
      <c r="I72" s="430">
        <f t="shared" si="8"/>
        <v>216000</v>
      </c>
      <c r="J72" s="430">
        <f t="shared" si="8"/>
        <v>745400</v>
      </c>
      <c r="K72" s="430">
        <f t="shared" si="8"/>
        <v>2156780</v>
      </c>
    </row>
  </sheetData>
  <mergeCells count="12">
    <mergeCell ref="F11:J11"/>
    <mergeCell ref="A72:C72"/>
    <mergeCell ref="A6:K6"/>
    <mergeCell ref="A7:K7"/>
    <mergeCell ref="A9:A12"/>
    <mergeCell ref="B9:B12"/>
    <mergeCell ref="C9:C12"/>
    <mergeCell ref="D9:D12"/>
    <mergeCell ref="E9:K9"/>
    <mergeCell ref="E10:J10"/>
    <mergeCell ref="K10:K12"/>
    <mergeCell ref="E11:E12"/>
  </mergeCells>
  <printOptions horizontalCentered="1"/>
  <pageMargins left="0.7874015748031497" right="0.7874015748031497" top="0.55" bottom="0.7874015748031497" header="1.11" footer="0.5118110236220472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5"/>
  <sheetViews>
    <sheetView zoomScale="75" zoomScaleNormal="75" workbookViewId="0" topLeftCell="A1">
      <selection activeCell="G2" sqref="G2:G4"/>
    </sheetView>
  </sheetViews>
  <sheetFormatPr defaultColWidth="9.00390625" defaultRowHeight="12.75"/>
  <cols>
    <col min="2" max="2" width="9.875" style="0" customWidth="1"/>
    <col min="3" max="3" width="45.75390625" style="0" bestFit="1" customWidth="1"/>
    <col min="4" max="4" width="13.125" style="0" customWidth="1"/>
    <col min="5" max="5" width="10.875" style="0" bestFit="1" customWidth="1"/>
    <col min="6" max="6" width="12.75390625" style="0" customWidth="1"/>
    <col min="7" max="7" width="12.375" style="0" customWidth="1"/>
    <col min="8" max="8" width="13.875" style="0" customWidth="1"/>
  </cols>
  <sheetData>
    <row r="1" ht="12.75">
      <c r="G1" t="s">
        <v>217</v>
      </c>
    </row>
    <row r="2" ht="12.75">
      <c r="G2" s="44" t="s">
        <v>311</v>
      </c>
    </row>
    <row r="3" ht="12.75" customHeight="1">
      <c r="G3" s="44" t="s">
        <v>21</v>
      </c>
    </row>
    <row r="4" ht="15.75" customHeight="1">
      <c r="G4" s="43" t="s">
        <v>312</v>
      </c>
    </row>
    <row r="5" ht="15.75" customHeight="1"/>
    <row r="6" spans="1:8" ht="18" customHeight="1">
      <c r="A6" s="480" t="s">
        <v>157</v>
      </c>
      <c r="B6" s="469"/>
      <c r="C6" s="469"/>
      <c r="D6" s="469"/>
      <c r="E6" s="469"/>
      <c r="F6" s="469"/>
      <c r="G6" s="469"/>
      <c r="H6" s="469"/>
    </row>
    <row r="7" spans="1:8" ht="16.5" customHeight="1">
      <c r="A7" s="480" t="s">
        <v>218</v>
      </c>
      <c r="B7" s="469"/>
      <c r="C7" s="469"/>
      <c r="D7" s="469"/>
      <c r="E7" s="469"/>
      <c r="F7" s="469"/>
      <c r="G7" s="469"/>
      <c r="H7" s="469"/>
    </row>
    <row r="8" spans="1:8" ht="15">
      <c r="A8" s="480" t="s">
        <v>219</v>
      </c>
      <c r="B8" s="469"/>
      <c r="C8" s="469"/>
      <c r="D8" s="469"/>
      <c r="E8" s="469"/>
      <c r="F8" s="469"/>
      <c r="G8" s="469"/>
      <c r="H8" s="469"/>
    </row>
    <row r="9" ht="13.5" thickBot="1">
      <c r="H9" s="97" t="s">
        <v>36</v>
      </c>
    </row>
    <row r="10" spans="1:8" ht="13.5" thickBot="1">
      <c r="A10" s="507" t="s">
        <v>0</v>
      </c>
      <c r="B10" s="507" t="s">
        <v>159</v>
      </c>
      <c r="C10" s="493" t="s">
        <v>40</v>
      </c>
      <c r="D10" s="493" t="s">
        <v>160</v>
      </c>
      <c r="E10" s="496" t="s">
        <v>202</v>
      </c>
      <c r="F10" s="497"/>
      <c r="G10" s="497"/>
      <c r="H10" s="498"/>
    </row>
    <row r="11" spans="1:8" ht="13.5" thickBot="1">
      <c r="A11" s="508"/>
      <c r="B11" s="508"/>
      <c r="C11" s="494"/>
      <c r="D11" s="494"/>
      <c r="E11" s="490" t="s">
        <v>162</v>
      </c>
      <c r="F11" s="491"/>
      <c r="G11" s="492"/>
      <c r="H11" s="499" t="s">
        <v>163</v>
      </c>
    </row>
    <row r="12" spans="1:8" ht="12.75">
      <c r="A12" s="508"/>
      <c r="B12" s="508"/>
      <c r="C12" s="494"/>
      <c r="D12" s="494"/>
      <c r="E12" s="502" t="s">
        <v>15</v>
      </c>
      <c r="F12" s="503" t="s">
        <v>204</v>
      </c>
      <c r="G12" s="504"/>
      <c r="H12" s="500"/>
    </row>
    <row r="13" spans="1:8" ht="13.5" thickBot="1">
      <c r="A13" s="508"/>
      <c r="B13" s="508"/>
      <c r="C13" s="494"/>
      <c r="D13" s="494"/>
      <c r="E13" s="494"/>
      <c r="F13" s="505"/>
      <c r="G13" s="506"/>
      <c r="H13" s="500"/>
    </row>
    <row r="14" spans="1:8" ht="36.75" thickBot="1">
      <c r="A14" s="509"/>
      <c r="B14" s="509"/>
      <c r="C14" s="495"/>
      <c r="D14" s="495"/>
      <c r="E14" s="495"/>
      <c r="F14" s="186" t="s">
        <v>205</v>
      </c>
      <c r="G14" s="186" t="s">
        <v>206</v>
      </c>
      <c r="H14" s="501"/>
    </row>
    <row r="15" spans="1:8" ht="13.5" thickBot="1">
      <c r="A15" s="187" t="s">
        <v>220</v>
      </c>
      <c r="B15" s="188" t="s">
        <v>221</v>
      </c>
      <c r="C15" s="189" t="s">
        <v>222</v>
      </c>
      <c r="D15" s="190" t="s">
        <v>223</v>
      </c>
      <c r="E15" s="191" t="s">
        <v>224</v>
      </c>
      <c r="F15" s="189" t="s">
        <v>225</v>
      </c>
      <c r="G15" s="190" t="s">
        <v>226</v>
      </c>
      <c r="H15" s="192" t="s">
        <v>227</v>
      </c>
    </row>
    <row r="16" spans="1:8" ht="13.5" thickBot="1">
      <c r="A16" s="193" t="s">
        <v>48</v>
      </c>
      <c r="B16" s="194"/>
      <c r="C16" s="195" t="s">
        <v>5</v>
      </c>
      <c r="D16" s="196">
        <f>D17+H16</f>
        <v>85000</v>
      </c>
      <c r="E16" s="196">
        <f>F16+G16</f>
        <v>85000</v>
      </c>
      <c r="F16" s="196">
        <f>F17</f>
        <v>0</v>
      </c>
      <c r="G16" s="197">
        <f>G17</f>
        <v>85000</v>
      </c>
      <c r="H16" s="196">
        <f>H17</f>
        <v>0</v>
      </c>
    </row>
    <row r="17" spans="1:8" ht="27" thickBot="1" thickTop="1">
      <c r="A17" s="198"/>
      <c r="B17" s="199" t="s">
        <v>168</v>
      </c>
      <c r="C17" s="200" t="s">
        <v>169</v>
      </c>
      <c r="D17" s="201">
        <f>E17+H17</f>
        <v>85000</v>
      </c>
      <c r="E17" s="201">
        <f>G17+F17</f>
        <v>85000</v>
      </c>
      <c r="F17" s="201">
        <v>0</v>
      </c>
      <c r="G17" s="178">
        <v>85000</v>
      </c>
      <c r="H17" s="201">
        <v>0</v>
      </c>
    </row>
    <row r="18" spans="1:8" ht="21.75" customHeight="1" thickBot="1" thickTop="1">
      <c r="A18" s="202">
        <v>700</v>
      </c>
      <c r="B18" s="202"/>
      <c r="C18" s="203" t="s">
        <v>8</v>
      </c>
      <c r="D18" s="204">
        <f>D19+H19</f>
        <v>361000</v>
      </c>
      <c r="E18" s="204">
        <f>E19</f>
        <v>361000</v>
      </c>
      <c r="F18" s="204">
        <v>0</v>
      </c>
      <c r="G18" s="205">
        <f>G19</f>
        <v>361000</v>
      </c>
      <c r="H18" s="204">
        <v>0</v>
      </c>
    </row>
    <row r="19" spans="1:8" ht="14.25" thickBot="1" thickTop="1">
      <c r="A19" s="206"/>
      <c r="B19" s="206">
        <v>70005</v>
      </c>
      <c r="C19" s="207" t="s">
        <v>57</v>
      </c>
      <c r="D19" s="208">
        <f aca="true" t="shared" si="0" ref="D19:D24">E19+H19</f>
        <v>361000</v>
      </c>
      <c r="E19" s="208">
        <f aca="true" t="shared" si="1" ref="E19:E30">F19+G19</f>
        <v>361000</v>
      </c>
      <c r="F19" s="208">
        <v>0</v>
      </c>
      <c r="G19" s="209">
        <v>361000</v>
      </c>
      <c r="H19" s="208">
        <v>0</v>
      </c>
    </row>
    <row r="20" spans="1:8" ht="14.25" thickBot="1" thickTop="1">
      <c r="A20" s="202">
        <v>710</v>
      </c>
      <c r="B20" s="202"/>
      <c r="C20" s="203" t="s">
        <v>228</v>
      </c>
      <c r="D20" s="204">
        <f t="shared" si="0"/>
        <v>294600</v>
      </c>
      <c r="E20" s="204">
        <f t="shared" si="1"/>
        <v>294600</v>
      </c>
      <c r="F20" s="204">
        <f>F21+F22+F23</f>
        <v>196223</v>
      </c>
      <c r="G20" s="205">
        <f>G21+G22+G23</f>
        <v>98377</v>
      </c>
      <c r="H20" s="204">
        <f>H21+H22+H23</f>
        <v>0</v>
      </c>
    </row>
    <row r="21" spans="1:8" ht="28.5" customHeight="1" thickTop="1">
      <c r="A21" s="198"/>
      <c r="B21" s="198">
        <v>71013</v>
      </c>
      <c r="C21" s="200" t="s">
        <v>60</v>
      </c>
      <c r="D21" s="201">
        <f t="shared" si="0"/>
        <v>66000</v>
      </c>
      <c r="E21" s="201">
        <f t="shared" si="1"/>
        <v>66000</v>
      </c>
      <c r="F21" s="201">
        <v>0</v>
      </c>
      <c r="G21" s="178">
        <v>66000</v>
      </c>
      <c r="H21" s="201">
        <v>0</v>
      </c>
    </row>
    <row r="22" spans="1:8" ht="12.75">
      <c r="A22" s="210"/>
      <c r="B22" s="210">
        <v>71014</v>
      </c>
      <c r="C22" s="211" t="s">
        <v>61</v>
      </c>
      <c r="D22" s="212">
        <f t="shared" si="0"/>
        <v>18000</v>
      </c>
      <c r="E22" s="212">
        <f t="shared" si="1"/>
        <v>18000</v>
      </c>
      <c r="F22" s="212">
        <v>0</v>
      </c>
      <c r="G22" s="213">
        <v>18000</v>
      </c>
      <c r="H22" s="212">
        <v>0</v>
      </c>
    </row>
    <row r="23" spans="1:8" ht="13.5" thickBot="1">
      <c r="A23" s="214"/>
      <c r="B23" s="214">
        <v>71015</v>
      </c>
      <c r="C23" s="215" t="s">
        <v>177</v>
      </c>
      <c r="D23" s="216">
        <f t="shared" si="0"/>
        <v>210600</v>
      </c>
      <c r="E23" s="216">
        <f t="shared" si="1"/>
        <v>210600</v>
      </c>
      <c r="F23" s="217">
        <v>196223</v>
      </c>
      <c r="G23" s="218">
        <v>14377</v>
      </c>
      <c r="H23" s="217"/>
    </row>
    <row r="24" spans="1:8" ht="14.25" thickBot="1" thickTop="1">
      <c r="A24" s="202">
        <v>750</v>
      </c>
      <c r="B24" s="202"/>
      <c r="C24" s="203" t="s">
        <v>63</v>
      </c>
      <c r="D24" s="204">
        <f t="shared" si="0"/>
        <v>113500</v>
      </c>
      <c r="E24" s="204">
        <f t="shared" si="1"/>
        <v>113500</v>
      </c>
      <c r="F24" s="219">
        <f>F25+F26</f>
        <v>104287</v>
      </c>
      <c r="G24" s="205">
        <f>G25+G26</f>
        <v>9213</v>
      </c>
      <c r="H24" s="204">
        <f>H25+H26</f>
        <v>0</v>
      </c>
    </row>
    <row r="25" spans="1:8" ht="15.75" customHeight="1" thickTop="1">
      <c r="A25" s="198"/>
      <c r="B25" s="198">
        <v>75011</v>
      </c>
      <c r="C25" s="200" t="s">
        <v>64</v>
      </c>
      <c r="D25" s="201">
        <f>H25+E25</f>
        <v>99500</v>
      </c>
      <c r="E25" s="201">
        <f t="shared" si="1"/>
        <v>99500</v>
      </c>
      <c r="F25" s="220">
        <v>97287</v>
      </c>
      <c r="G25" s="178">
        <v>2213</v>
      </c>
      <c r="H25" s="201">
        <v>0</v>
      </c>
    </row>
    <row r="26" spans="1:8" ht="13.5" thickBot="1">
      <c r="A26" s="221"/>
      <c r="B26" s="221">
        <v>75045</v>
      </c>
      <c r="C26" s="222" t="s">
        <v>78</v>
      </c>
      <c r="D26" s="217">
        <f>H26+E26</f>
        <v>14000</v>
      </c>
      <c r="E26" s="217">
        <f>F26+G26</f>
        <v>14000</v>
      </c>
      <c r="F26" s="217">
        <v>7000</v>
      </c>
      <c r="G26" s="218">
        <v>7000</v>
      </c>
      <c r="H26" s="217">
        <v>0</v>
      </c>
    </row>
    <row r="27" spans="1:8" ht="27" thickBot="1" thickTop="1">
      <c r="A27" s="202">
        <v>754</v>
      </c>
      <c r="B27" s="202"/>
      <c r="C27" s="203" t="s">
        <v>10</v>
      </c>
      <c r="D27" s="204">
        <f aca="true" t="shared" si="2" ref="D27:D34">E27+H27</f>
        <v>2373600</v>
      </c>
      <c r="E27" s="204">
        <f t="shared" si="1"/>
        <v>2373600</v>
      </c>
      <c r="F27" s="204">
        <f>F28</f>
        <v>1724867</v>
      </c>
      <c r="G27" s="204">
        <f>G28</f>
        <v>648733</v>
      </c>
      <c r="H27" s="204">
        <f>H28</f>
        <v>0</v>
      </c>
    </row>
    <row r="28" spans="1:8" ht="14.25" thickBot="1" thickTop="1">
      <c r="A28" s="223"/>
      <c r="B28" s="198">
        <v>75411</v>
      </c>
      <c r="C28" s="200" t="s">
        <v>80</v>
      </c>
      <c r="D28" s="224">
        <f t="shared" si="2"/>
        <v>2373600</v>
      </c>
      <c r="E28" s="224">
        <f t="shared" si="1"/>
        <v>2373600</v>
      </c>
      <c r="F28" s="225">
        <v>1724867</v>
      </c>
      <c r="G28" s="226">
        <v>648733</v>
      </c>
      <c r="H28" s="224">
        <v>0</v>
      </c>
    </row>
    <row r="29" spans="1:8" ht="14.25" thickBot="1" thickTop="1">
      <c r="A29" s="202">
        <v>851</v>
      </c>
      <c r="B29" s="202"/>
      <c r="C29" s="203" t="s">
        <v>13</v>
      </c>
      <c r="D29" s="204">
        <f t="shared" si="2"/>
        <v>1127000</v>
      </c>
      <c r="E29" s="204">
        <f t="shared" si="1"/>
        <v>1127000</v>
      </c>
      <c r="F29" s="204">
        <f>F30</f>
        <v>0</v>
      </c>
      <c r="G29" s="205">
        <f>G30</f>
        <v>1127000</v>
      </c>
      <c r="H29" s="204">
        <f>H30</f>
        <v>0</v>
      </c>
    </row>
    <row r="30" spans="1:8" ht="39.75" thickBot="1" thickTop="1">
      <c r="A30" s="206"/>
      <c r="B30" s="206">
        <v>85156</v>
      </c>
      <c r="C30" s="207" t="s">
        <v>229</v>
      </c>
      <c r="D30" s="208">
        <f t="shared" si="2"/>
        <v>1127000</v>
      </c>
      <c r="E30" s="208">
        <f t="shared" si="1"/>
        <v>1127000</v>
      </c>
      <c r="F30" s="208">
        <v>0</v>
      </c>
      <c r="G30" s="209">
        <v>1127000</v>
      </c>
      <c r="H30" s="208">
        <v>0</v>
      </c>
    </row>
    <row r="31" spans="1:8" ht="14.25" thickBot="1" thickTop="1">
      <c r="A31" s="202">
        <v>852</v>
      </c>
      <c r="B31" s="202"/>
      <c r="C31" s="203" t="s">
        <v>109</v>
      </c>
      <c r="D31" s="204">
        <f t="shared" si="2"/>
        <v>3000</v>
      </c>
      <c r="E31" s="204">
        <f>F31+G31</f>
        <v>3000</v>
      </c>
      <c r="F31" s="204">
        <f>F32</f>
        <v>0</v>
      </c>
      <c r="G31" s="227">
        <f>G32</f>
        <v>3000</v>
      </c>
      <c r="H31" s="204">
        <f>H32</f>
        <v>0</v>
      </c>
    </row>
    <row r="32" spans="1:8" ht="39.75" thickBot="1" thickTop="1">
      <c r="A32" s="388"/>
      <c r="B32" s="389">
        <v>85220</v>
      </c>
      <c r="C32" s="390" t="s">
        <v>116</v>
      </c>
      <c r="D32" s="391">
        <f t="shared" si="2"/>
        <v>3000</v>
      </c>
      <c r="E32" s="391">
        <f>F32+G32</f>
        <v>3000</v>
      </c>
      <c r="F32" s="392"/>
      <c r="G32" s="393">
        <v>3000</v>
      </c>
      <c r="H32" s="391">
        <v>0</v>
      </c>
    </row>
    <row r="33" spans="1:8" ht="27" thickBot="1" thickTop="1">
      <c r="A33" s="228">
        <v>853</v>
      </c>
      <c r="B33" s="228"/>
      <c r="C33" s="229" t="s">
        <v>230</v>
      </c>
      <c r="D33" s="230">
        <f t="shared" si="2"/>
        <v>44000</v>
      </c>
      <c r="E33" s="230">
        <f>F33+G33</f>
        <v>44000</v>
      </c>
      <c r="F33" s="230">
        <f>F34</f>
        <v>40307</v>
      </c>
      <c r="G33" s="387">
        <f>G34</f>
        <v>3693</v>
      </c>
      <c r="H33" s="230">
        <f>H34</f>
        <v>0</v>
      </c>
    </row>
    <row r="34" spans="1:8" ht="14.25" thickBot="1" thickTop="1">
      <c r="A34" s="231"/>
      <c r="B34" s="232">
        <v>85321</v>
      </c>
      <c r="C34" s="207" t="s">
        <v>117</v>
      </c>
      <c r="D34" s="208">
        <f t="shared" si="2"/>
        <v>44000</v>
      </c>
      <c r="E34" s="208">
        <f>F34+G34</f>
        <v>44000</v>
      </c>
      <c r="F34" s="233">
        <v>40307</v>
      </c>
      <c r="G34" s="209">
        <v>3693</v>
      </c>
      <c r="H34" s="208">
        <v>0</v>
      </c>
    </row>
    <row r="35" spans="1:8" ht="13.5" thickBot="1">
      <c r="A35" s="488" t="s">
        <v>199</v>
      </c>
      <c r="B35" s="489"/>
      <c r="C35" s="489"/>
      <c r="D35" s="234">
        <f>D33+D29+D27+D24+D20+D18+D16+D31</f>
        <v>4401700</v>
      </c>
      <c r="E35" s="234">
        <f>E33+E29+E27+E24+E20+E18+E16+E31</f>
        <v>4401700</v>
      </c>
      <c r="F35" s="234">
        <f>F33+F29+F27+F24+F20+F18+F16+F31</f>
        <v>2065684</v>
      </c>
      <c r="G35" s="234">
        <f>G33+G29+G27+G24+G20+G18+G16+G31</f>
        <v>2336016</v>
      </c>
      <c r="H35" s="234">
        <f>H33+H29+H27+H24+H20+H18+H16+H31</f>
        <v>0</v>
      </c>
    </row>
  </sheetData>
  <mergeCells count="13">
    <mergeCell ref="A10:A14"/>
    <mergeCell ref="B10:B14"/>
    <mergeCell ref="C10:C14"/>
    <mergeCell ref="A35:C35"/>
    <mergeCell ref="E11:G11"/>
    <mergeCell ref="A6:H6"/>
    <mergeCell ref="A7:H7"/>
    <mergeCell ref="A8:H8"/>
    <mergeCell ref="D10:D14"/>
    <mergeCell ref="E10:H10"/>
    <mergeCell ref="H11:H14"/>
    <mergeCell ref="E12:E14"/>
    <mergeCell ref="F12:G13"/>
  </mergeCells>
  <printOptions horizontalCentered="1"/>
  <pageMargins left="0.7874015748031497" right="0.7874015748031497" top="0.55" bottom="0.7874015748031497" header="1.11" footer="0.5118110236220472"/>
  <pageSetup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I23"/>
  <sheetViews>
    <sheetView zoomScale="75" zoomScaleNormal="75" workbookViewId="0" topLeftCell="A1">
      <selection activeCell="G5" sqref="G5:G7"/>
    </sheetView>
  </sheetViews>
  <sheetFormatPr defaultColWidth="9.00390625" defaultRowHeight="12.75"/>
  <cols>
    <col min="3" max="3" width="45.75390625" style="0" bestFit="1" customWidth="1"/>
    <col min="4" max="4" width="13.125" style="0" customWidth="1"/>
    <col min="5" max="5" width="10.875" style="0" bestFit="1" customWidth="1"/>
    <col min="6" max="6" width="12.75390625" style="0" customWidth="1"/>
    <col min="7" max="7" width="12.375" style="0" customWidth="1"/>
    <col min="8" max="8" width="13.875" style="0" customWidth="1"/>
  </cols>
  <sheetData>
    <row r="4" spans="7:8" ht="12.75">
      <c r="G4" s="96" t="s">
        <v>231</v>
      </c>
      <c r="H4" s="96"/>
    </row>
    <row r="5" spans="7:8" ht="12.75">
      <c r="G5" s="44" t="s">
        <v>311</v>
      </c>
      <c r="H5" s="96"/>
    </row>
    <row r="6" spans="7:8" ht="12.75" customHeight="1">
      <c r="G6" s="44" t="s">
        <v>21</v>
      </c>
      <c r="H6" s="96"/>
    </row>
    <row r="7" spans="7:8" ht="15.75" customHeight="1">
      <c r="G7" s="43" t="s">
        <v>312</v>
      </c>
      <c r="H7" s="96"/>
    </row>
    <row r="8" spans="1:8" ht="15.75" customHeight="1">
      <c r="A8" s="96"/>
      <c r="B8" s="96"/>
      <c r="C8" s="96"/>
      <c r="D8" s="96"/>
      <c r="E8" s="96"/>
      <c r="F8" s="96"/>
      <c r="G8" s="96"/>
      <c r="H8" s="96"/>
    </row>
    <row r="9" spans="1:8" ht="18" customHeight="1">
      <c r="A9" s="96"/>
      <c r="B9" s="96"/>
      <c r="C9" s="96"/>
      <c r="D9" s="96"/>
      <c r="E9" s="96"/>
      <c r="F9" s="96"/>
      <c r="G9" s="96"/>
      <c r="H9" s="96"/>
    </row>
    <row r="10" spans="1:8" ht="12.75" customHeight="1">
      <c r="A10" s="96"/>
      <c r="B10" s="96"/>
      <c r="C10" s="96"/>
      <c r="D10" s="96"/>
      <c r="E10" s="96"/>
      <c r="F10" s="96"/>
      <c r="G10" s="96"/>
      <c r="H10" s="96"/>
    </row>
    <row r="11" spans="1:8" ht="12.75">
      <c r="A11" s="96"/>
      <c r="B11" s="96"/>
      <c r="C11" s="96"/>
      <c r="D11" s="96"/>
      <c r="E11" s="96"/>
      <c r="F11" s="96"/>
      <c r="G11" s="96"/>
      <c r="H11" s="96"/>
    </row>
    <row r="12" spans="1:8" ht="15">
      <c r="A12" s="480" t="s">
        <v>232</v>
      </c>
      <c r="B12" s="469"/>
      <c r="C12" s="469"/>
      <c r="D12" s="469"/>
      <c r="E12" s="469"/>
      <c r="F12" s="469"/>
      <c r="G12" s="469"/>
      <c r="H12" s="469"/>
    </row>
    <row r="13" spans="1:8" ht="15">
      <c r="A13" s="480" t="s">
        <v>233</v>
      </c>
      <c r="B13" s="469"/>
      <c r="C13" s="469"/>
      <c r="D13" s="469"/>
      <c r="E13" s="469"/>
      <c r="F13" s="469"/>
      <c r="G13" s="469"/>
      <c r="H13" s="469"/>
    </row>
    <row r="14" spans="1:8" ht="15">
      <c r="A14" s="480" t="s">
        <v>234</v>
      </c>
      <c r="B14" s="469"/>
      <c r="C14" s="469"/>
      <c r="D14" s="469"/>
      <c r="E14" s="469"/>
      <c r="F14" s="469"/>
      <c r="G14" s="469"/>
      <c r="H14" s="469"/>
    </row>
    <row r="15" spans="1:8" ht="13.5" thickBot="1">
      <c r="A15" s="96"/>
      <c r="B15" s="96"/>
      <c r="C15" s="96"/>
      <c r="D15" s="96"/>
      <c r="E15" s="96"/>
      <c r="F15" s="96"/>
      <c r="G15" s="96"/>
      <c r="H15" s="97" t="s">
        <v>36</v>
      </c>
    </row>
    <row r="16" spans="1:8" ht="13.5" thickBot="1">
      <c r="A16" s="510" t="s">
        <v>0</v>
      </c>
      <c r="B16" s="510" t="s">
        <v>159</v>
      </c>
      <c r="C16" s="510" t="s">
        <v>40</v>
      </c>
      <c r="D16" s="514" t="s">
        <v>160</v>
      </c>
      <c r="E16" s="519" t="s">
        <v>202</v>
      </c>
      <c r="F16" s="520"/>
      <c r="G16" s="520"/>
      <c r="H16" s="521"/>
    </row>
    <row r="17" spans="1:8" ht="13.5" thickBot="1">
      <c r="A17" s="511"/>
      <c r="B17" s="511"/>
      <c r="C17" s="511"/>
      <c r="D17" s="515"/>
      <c r="E17" s="522" t="s">
        <v>162</v>
      </c>
      <c r="F17" s="523"/>
      <c r="G17" s="524"/>
      <c r="H17" s="525" t="s">
        <v>163</v>
      </c>
    </row>
    <row r="18" spans="1:8" ht="13.5" thickBot="1">
      <c r="A18" s="511"/>
      <c r="B18" s="511"/>
      <c r="C18" s="511"/>
      <c r="D18" s="515"/>
      <c r="E18" s="510" t="s">
        <v>15</v>
      </c>
      <c r="F18" s="519" t="s">
        <v>204</v>
      </c>
      <c r="G18" s="521"/>
      <c r="H18" s="511"/>
    </row>
    <row r="19" spans="1:8" ht="36.75" thickBot="1">
      <c r="A19" s="512"/>
      <c r="B19" s="513"/>
      <c r="C19" s="513"/>
      <c r="D19" s="516"/>
      <c r="E19" s="512"/>
      <c r="F19" s="235" t="s">
        <v>205</v>
      </c>
      <c r="G19" s="236" t="s">
        <v>206</v>
      </c>
      <c r="H19" s="512"/>
    </row>
    <row r="20" spans="1:9" ht="13.5" thickBot="1">
      <c r="A20" s="237">
        <v>1</v>
      </c>
      <c r="B20" s="238">
        <v>2</v>
      </c>
      <c r="C20" s="239">
        <v>3</v>
      </c>
      <c r="D20" s="240">
        <v>4</v>
      </c>
      <c r="E20" s="238">
        <v>5</v>
      </c>
      <c r="F20" s="241">
        <v>6</v>
      </c>
      <c r="G20" s="241">
        <v>7</v>
      </c>
      <c r="H20" s="242">
        <v>8</v>
      </c>
      <c r="I20" s="369"/>
    </row>
    <row r="21" spans="1:8" ht="21.75" customHeight="1" thickBot="1" thickTop="1">
      <c r="A21" s="243">
        <v>750</v>
      </c>
      <c r="B21" s="164"/>
      <c r="C21" s="244" t="s">
        <v>63</v>
      </c>
      <c r="D21" s="167">
        <f>D22</f>
        <v>1000</v>
      </c>
      <c r="E21" s="167">
        <f>G21+F21</f>
        <v>1000</v>
      </c>
      <c r="F21" s="167">
        <f>F22</f>
        <v>0</v>
      </c>
      <c r="G21" s="167">
        <f>G22</f>
        <v>1000</v>
      </c>
      <c r="H21" s="245">
        <v>0</v>
      </c>
    </row>
    <row r="22" spans="1:8" ht="14.25" thickBot="1" thickTop="1">
      <c r="A22" s="246"/>
      <c r="B22" s="113">
        <v>75045</v>
      </c>
      <c r="C22" s="121" t="s">
        <v>78</v>
      </c>
      <c r="D22" s="129">
        <f>E22+H22</f>
        <v>1000</v>
      </c>
      <c r="E22" s="129">
        <f>G22+F22</f>
        <v>1000</v>
      </c>
      <c r="F22" s="73">
        <v>0</v>
      </c>
      <c r="G22" s="73">
        <v>1000</v>
      </c>
      <c r="H22" s="370">
        <v>0</v>
      </c>
    </row>
    <row r="23" spans="1:9" ht="13.5" thickBot="1">
      <c r="A23" s="517" t="s">
        <v>15</v>
      </c>
      <c r="B23" s="518"/>
      <c r="C23" s="518"/>
      <c r="D23" s="185">
        <f>D21</f>
        <v>1000</v>
      </c>
      <c r="E23" s="185">
        <f>E21</f>
        <v>1000</v>
      </c>
      <c r="F23" s="185">
        <f>F21</f>
        <v>0</v>
      </c>
      <c r="G23" s="185">
        <f>G21</f>
        <v>1000</v>
      </c>
      <c r="H23" s="247">
        <f>H21</f>
        <v>0</v>
      </c>
      <c r="I23" s="369"/>
    </row>
  </sheetData>
  <mergeCells count="13">
    <mergeCell ref="A23:C23"/>
    <mergeCell ref="E16:H16"/>
    <mergeCell ref="E17:G17"/>
    <mergeCell ref="H17:H19"/>
    <mergeCell ref="E18:E19"/>
    <mergeCell ref="F18:G18"/>
    <mergeCell ref="A12:H12"/>
    <mergeCell ref="A13:H13"/>
    <mergeCell ref="A14:H14"/>
    <mergeCell ref="A16:A19"/>
    <mergeCell ref="B16:B19"/>
    <mergeCell ref="C16:C19"/>
    <mergeCell ref="D16:D19"/>
  </mergeCells>
  <printOptions horizontalCentered="1"/>
  <pageMargins left="0.7874015748031497" right="0.7874015748031497" top="0.55" bottom="0.7874015748031497" header="1.11" footer="0.5118110236220472"/>
  <pageSetup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1"/>
  <sheetViews>
    <sheetView zoomScale="75" zoomScaleNormal="75" workbookViewId="0" topLeftCell="A1">
      <selection activeCell="F2" sqref="F2:F4"/>
    </sheetView>
  </sheetViews>
  <sheetFormatPr defaultColWidth="9.00390625" defaultRowHeight="12.75"/>
  <cols>
    <col min="3" max="3" width="45.75390625" style="0" bestFit="1" customWidth="1"/>
    <col min="4" max="4" width="13.125" style="0" customWidth="1"/>
    <col min="5" max="5" width="10.875" style="0" bestFit="1" customWidth="1"/>
    <col min="6" max="6" width="12.75390625" style="0" customWidth="1"/>
    <col min="7" max="7" width="12.375" style="0" customWidth="1"/>
  </cols>
  <sheetData>
    <row r="1" spans="1:7" ht="12.75">
      <c r="A1" s="96"/>
      <c r="B1" s="96"/>
      <c r="C1" s="96"/>
      <c r="D1" s="96"/>
      <c r="E1" s="96"/>
      <c r="F1" s="248" t="s">
        <v>235</v>
      </c>
      <c r="G1" s="96"/>
    </row>
    <row r="2" spans="1:7" ht="12.75">
      <c r="A2" s="96"/>
      <c r="B2" s="96"/>
      <c r="C2" s="96"/>
      <c r="D2" s="96"/>
      <c r="E2" s="96"/>
      <c r="F2" s="44" t="s">
        <v>311</v>
      </c>
      <c r="G2" s="96"/>
    </row>
    <row r="3" spans="1:7" ht="12.75">
      <c r="A3" s="96"/>
      <c r="B3" s="96"/>
      <c r="C3" s="96"/>
      <c r="D3" s="96"/>
      <c r="E3" s="96"/>
      <c r="F3" s="44" t="s">
        <v>21</v>
      </c>
      <c r="G3" s="96"/>
    </row>
    <row r="4" spans="1:7" ht="12.75">
      <c r="A4" s="96"/>
      <c r="B4" s="96"/>
      <c r="C4" s="96"/>
      <c r="D4" s="96"/>
      <c r="E4" s="96"/>
      <c r="F4" s="43" t="s">
        <v>312</v>
      </c>
      <c r="G4" s="96"/>
    </row>
    <row r="5" spans="1:7" ht="12.75">
      <c r="A5" s="96"/>
      <c r="B5" s="96"/>
      <c r="C5" s="96"/>
      <c r="D5" s="96"/>
      <c r="E5" s="96"/>
      <c r="F5" s="96"/>
      <c r="G5" s="96"/>
    </row>
    <row r="6" spans="1:7" ht="12.75" customHeight="1">
      <c r="A6" s="480" t="s">
        <v>236</v>
      </c>
      <c r="B6" s="469"/>
      <c r="C6" s="469"/>
      <c r="D6" s="469"/>
      <c r="E6" s="469"/>
      <c r="F6" s="469"/>
      <c r="G6" s="469"/>
    </row>
    <row r="7" spans="1:7" ht="15.75" customHeight="1">
      <c r="A7" s="480" t="s">
        <v>237</v>
      </c>
      <c r="B7" s="469"/>
      <c r="C7" s="469"/>
      <c r="D7" s="469"/>
      <c r="E7" s="469"/>
      <c r="F7" s="469"/>
      <c r="G7" s="469"/>
    </row>
    <row r="8" spans="1:7" ht="15.75" customHeight="1">
      <c r="A8" s="480" t="s">
        <v>238</v>
      </c>
      <c r="B8" s="469"/>
      <c r="C8" s="469"/>
      <c r="D8" s="469"/>
      <c r="E8" s="469"/>
      <c r="F8" s="469"/>
      <c r="G8" s="469"/>
    </row>
    <row r="9" spans="1:7" ht="18" customHeight="1" thickBot="1">
      <c r="A9" s="96"/>
      <c r="B9" s="96"/>
      <c r="C9" s="96"/>
      <c r="D9" s="96"/>
      <c r="E9" s="96"/>
      <c r="F9" s="96"/>
      <c r="G9" s="97" t="s">
        <v>36</v>
      </c>
    </row>
    <row r="10" spans="1:7" ht="12.75" customHeight="1" thickBot="1">
      <c r="A10" s="529" t="s">
        <v>239</v>
      </c>
      <c r="B10" s="529" t="s">
        <v>240</v>
      </c>
      <c r="C10" s="533" t="s">
        <v>40</v>
      </c>
      <c r="D10" s="534" t="s">
        <v>41</v>
      </c>
      <c r="E10" s="535"/>
      <c r="F10" s="535"/>
      <c r="G10" s="536"/>
    </row>
    <row r="11" spans="1:7" ht="13.5" thickBot="1">
      <c r="A11" s="530"/>
      <c r="B11" s="530"/>
      <c r="C11" s="530"/>
      <c r="D11" s="537" t="s">
        <v>241</v>
      </c>
      <c r="E11" s="538"/>
      <c r="F11" s="538"/>
      <c r="G11" s="539"/>
    </row>
    <row r="12" spans="1:7" ht="13.5" thickBot="1">
      <c r="A12" s="530"/>
      <c r="B12" s="530"/>
      <c r="C12" s="530"/>
      <c r="D12" s="533" t="s">
        <v>242</v>
      </c>
      <c r="E12" s="534" t="s">
        <v>243</v>
      </c>
      <c r="F12" s="535"/>
      <c r="G12" s="536"/>
    </row>
    <row r="13" spans="1:7" ht="51.75" thickBot="1">
      <c r="A13" s="531"/>
      <c r="B13" s="532"/>
      <c r="C13" s="532"/>
      <c r="D13" s="531"/>
      <c r="E13" s="249" t="s">
        <v>4</v>
      </c>
      <c r="F13" s="249" t="s">
        <v>166</v>
      </c>
      <c r="G13" s="250" t="s">
        <v>244</v>
      </c>
    </row>
    <row r="14" spans="1:7" ht="13.5" thickBot="1">
      <c r="A14" s="251">
        <v>1</v>
      </c>
      <c r="B14" s="252">
        <v>2</v>
      </c>
      <c r="C14" s="99">
        <v>3</v>
      </c>
      <c r="D14" s="251">
        <v>4</v>
      </c>
      <c r="E14" s="251">
        <v>5</v>
      </c>
      <c r="F14" s="251">
        <v>6</v>
      </c>
      <c r="G14" s="253">
        <v>7</v>
      </c>
    </row>
    <row r="15" spans="1:7" ht="16.5" thickBot="1" thickTop="1">
      <c r="A15" s="254">
        <v>600</v>
      </c>
      <c r="B15" s="255"/>
      <c r="C15" s="256" t="s">
        <v>7</v>
      </c>
      <c r="D15" s="257">
        <f>D16</f>
        <v>40000</v>
      </c>
      <c r="E15" s="257">
        <f>E16</f>
        <v>40000</v>
      </c>
      <c r="F15" s="257">
        <f>F16</f>
        <v>40000</v>
      </c>
      <c r="G15" s="257">
        <v>0</v>
      </c>
    </row>
    <row r="16" spans="1:7" ht="16.5" thickBot="1" thickTop="1">
      <c r="A16" s="258"/>
      <c r="B16" s="378">
        <v>60014</v>
      </c>
      <c r="C16" s="259" t="s">
        <v>245</v>
      </c>
      <c r="D16" s="260">
        <f>E16</f>
        <v>40000</v>
      </c>
      <c r="E16" s="260">
        <f>F16+G16</f>
        <v>40000</v>
      </c>
      <c r="F16" s="260">
        <v>40000</v>
      </c>
      <c r="G16" s="260">
        <v>0</v>
      </c>
    </row>
    <row r="17" spans="1:7" ht="16.5" thickBot="1" thickTop="1">
      <c r="A17" s="254" t="s">
        <v>246</v>
      </c>
      <c r="B17" s="255"/>
      <c r="C17" s="256" t="s">
        <v>109</v>
      </c>
      <c r="D17" s="257">
        <f>D18</f>
        <v>247600</v>
      </c>
      <c r="E17" s="257">
        <f>E18</f>
        <v>247600</v>
      </c>
      <c r="F17" s="257">
        <f>F18</f>
        <v>247600</v>
      </c>
      <c r="G17" s="257">
        <v>0</v>
      </c>
    </row>
    <row r="18" spans="1:7" ht="16.5" thickBot="1" thickTop="1">
      <c r="A18" s="258"/>
      <c r="B18" s="258" t="s">
        <v>247</v>
      </c>
      <c r="C18" s="259" t="s">
        <v>248</v>
      </c>
      <c r="D18" s="260">
        <f>E18</f>
        <v>247600</v>
      </c>
      <c r="E18" s="260">
        <f>F18+G18</f>
        <v>247600</v>
      </c>
      <c r="F18" s="260">
        <f>463000-215400</f>
        <v>247600</v>
      </c>
      <c r="G18" s="260">
        <v>0</v>
      </c>
    </row>
    <row r="19" spans="1:7" ht="31.5" thickBot="1" thickTop="1">
      <c r="A19" s="261">
        <v>921</v>
      </c>
      <c r="B19" s="262"/>
      <c r="C19" s="377" t="s">
        <v>28</v>
      </c>
      <c r="D19" s="263">
        <f>E19</f>
        <v>22000</v>
      </c>
      <c r="E19" s="263">
        <f>F19</f>
        <v>22000</v>
      </c>
      <c r="F19" s="263">
        <f>F20</f>
        <v>22000</v>
      </c>
      <c r="G19" s="263">
        <v>0</v>
      </c>
    </row>
    <row r="20" spans="1:7" ht="21.75" customHeight="1" thickBot="1" thickTop="1">
      <c r="A20" s="264"/>
      <c r="B20" s="264">
        <v>92116</v>
      </c>
      <c r="C20" s="265" t="s">
        <v>198</v>
      </c>
      <c r="D20" s="266">
        <f>E20</f>
        <v>22000</v>
      </c>
      <c r="E20" s="266">
        <f>F20</f>
        <v>22000</v>
      </c>
      <c r="F20" s="266">
        <v>22000</v>
      </c>
      <c r="G20" s="266">
        <v>0</v>
      </c>
    </row>
    <row r="21" spans="1:7" ht="14.25" thickBot="1">
      <c r="A21" s="526" t="s">
        <v>15</v>
      </c>
      <c r="B21" s="527"/>
      <c r="C21" s="528"/>
      <c r="D21" s="267">
        <f>D15+D17+D19</f>
        <v>309600</v>
      </c>
      <c r="E21" s="267">
        <f>E15+E17+E19</f>
        <v>309600</v>
      </c>
      <c r="F21" s="267">
        <f>F15+F17+F19</f>
        <v>309600</v>
      </c>
      <c r="G21" s="267">
        <f>G15+G17</f>
        <v>0</v>
      </c>
    </row>
  </sheetData>
  <mergeCells count="11">
    <mergeCell ref="E12:G12"/>
    <mergeCell ref="A21:C21"/>
    <mergeCell ref="A6:G6"/>
    <mergeCell ref="A7:G7"/>
    <mergeCell ref="A8:G8"/>
    <mergeCell ref="A10:A13"/>
    <mergeCell ref="B10:B13"/>
    <mergeCell ref="C10:C13"/>
    <mergeCell ref="D10:G10"/>
    <mergeCell ref="D11:G11"/>
    <mergeCell ref="D12:D13"/>
  </mergeCells>
  <printOptions horizontalCentered="1"/>
  <pageMargins left="0.7874015748031497" right="0.7874015748031497" top="0.55" bottom="0.7874015748031497" header="1.11" footer="0.5118110236220472"/>
  <pageSetup horizontalDpi="600" verticalDpi="600" orientation="landscape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8"/>
  <sheetViews>
    <sheetView zoomScale="75" zoomScaleNormal="75" workbookViewId="0" topLeftCell="A1">
      <selection activeCell="G20" sqref="G20"/>
    </sheetView>
  </sheetViews>
  <sheetFormatPr defaultColWidth="9.00390625" defaultRowHeight="12.75"/>
  <cols>
    <col min="3" max="3" width="45.75390625" style="0" bestFit="1" customWidth="1"/>
    <col min="4" max="4" width="13.125" style="0" customWidth="1"/>
    <col min="5" max="5" width="10.875" style="0" bestFit="1" customWidth="1"/>
    <col min="6" max="6" width="12.75390625" style="0" customWidth="1"/>
    <col min="7" max="7" width="48.00390625" style="0" bestFit="1" customWidth="1"/>
    <col min="9" max="9" width="6.75390625" style="0" customWidth="1"/>
  </cols>
  <sheetData>
    <row r="1" spans="1:8" ht="12.75">
      <c r="A1" s="96"/>
      <c r="B1" s="96"/>
      <c r="C1" s="96"/>
      <c r="D1" s="96"/>
      <c r="E1" s="96"/>
      <c r="F1" s="96"/>
      <c r="G1" s="395" t="s">
        <v>313</v>
      </c>
      <c r="H1" s="96"/>
    </row>
    <row r="2" spans="1:8" ht="12.75">
      <c r="A2" s="96"/>
      <c r="B2" s="96"/>
      <c r="C2" s="96"/>
      <c r="D2" s="96"/>
      <c r="E2" s="96"/>
      <c r="F2" s="96"/>
      <c r="G2" s="396" t="s">
        <v>311</v>
      </c>
      <c r="H2" s="96"/>
    </row>
    <row r="3" spans="1:8" ht="12.75">
      <c r="A3" s="96"/>
      <c r="B3" s="96"/>
      <c r="C3" s="96"/>
      <c r="D3" s="96"/>
      <c r="E3" s="96"/>
      <c r="F3" s="96"/>
      <c r="G3" s="396" t="s">
        <v>21</v>
      </c>
      <c r="H3" s="96"/>
    </row>
    <row r="4" spans="1:8" ht="12.75">
      <c r="A4" s="96"/>
      <c r="B4" s="96"/>
      <c r="C4" s="96"/>
      <c r="D4" s="96"/>
      <c r="E4" s="96"/>
      <c r="F4" s="96"/>
      <c r="G4" s="396" t="s">
        <v>312</v>
      </c>
      <c r="H4" s="96"/>
    </row>
    <row r="5" spans="1:8" ht="12.75">
      <c r="A5" s="96"/>
      <c r="B5" s="96"/>
      <c r="C5" s="96"/>
      <c r="D5" s="96"/>
      <c r="E5" s="96"/>
      <c r="F5" s="96"/>
      <c r="G5" s="96"/>
      <c r="H5" s="96"/>
    </row>
    <row r="6" spans="1:8" ht="12.75" customHeight="1">
      <c r="A6" s="549" t="s">
        <v>249</v>
      </c>
      <c r="B6" s="550"/>
      <c r="C6" s="550"/>
      <c r="D6" s="550"/>
      <c r="E6" s="550"/>
      <c r="F6" s="550"/>
      <c r="G6" s="550"/>
      <c r="H6" s="550"/>
    </row>
    <row r="7" spans="1:8" ht="15.75" customHeight="1">
      <c r="A7" s="549" t="s">
        <v>250</v>
      </c>
      <c r="B7" s="550"/>
      <c r="C7" s="550"/>
      <c r="D7" s="550"/>
      <c r="E7" s="550"/>
      <c r="F7" s="550"/>
      <c r="G7" s="550"/>
      <c r="H7" s="550"/>
    </row>
    <row r="8" spans="1:8" ht="15.75" customHeight="1">
      <c r="A8" s="549" t="s">
        <v>251</v>
      </c>
      <c r="B8" s="550"/>
      <c r="C8" s="550"/>
      <c r="D8" s="550"/>
      <c r="E8" s="550"/>
      <c r="F8" s="550"/>
      <c r="G8" s="550"/>
      <c r="H8" s="550"/>
    </row>
    <row r="9" spans="1:8" ht="18" customHeight="1">
      <c r="A9" s="96"/>
      <c r="B9" s="96"/>
      <c r="C9" s="96"/>
      <c r="D9" s="96"/>
      <c r="E9" s="96"/>
      <c r="F9" s="96"/>
      <c r="G9" s="96"/>
      <c r="H9" s="96"/>
    </row>
    <row r="10" spans="1:8" ht="12.75" customHeight="1">
      <c r="A10" s="268" t="s">
        <v>252</v>
      </c>
      <c r="B10" s="268"/>
      <c r="C10" s="268"/>
      <c r="D10" s="96"/>
      <c r="E10" s="96"/>
      <c r="F10" s="96"/>
      <c r="G10" s="96"/>
      <c r="H10" s="96"/>
    </row>
    <row r="11" spans="1:8" ht="12.75">
      <c r="A11" s="269" t="s">
        <v>253</v>
      </c>
      <c r="B11" s="269"/>
      <c r="C11" s="269"/>
      <c r="D11" s="269"/>
      <c r="E11" s="270"/>
      <c r="F11" s="270"/>
      <c r="G11" s="270"/>
      <c r="H11" s="270"/>
    </row>
    <row r="12" spans="1:8" ht="13.5" thickBot="1">
      <c r="A12" s="271"/>
      <c r="B12" s="271"/>
      <c r="C12" s="271"/>
      <c r="D12" s="271"/>
      <c r="E12" s="96"/>
      <c r="F12" s="96"/>
      <c r="G12" s="96"/>
      <c r="H12" s="97" t="s">
        <v>36</v>
      </c>
    </row>
    <row r="13" spans="1:9" ht="13.5" thickBot="1">
      <c r="A13" s="551" t="s">
        <v>254</v>
      </c>
      <c r="B13" s="552"/>
      <c r="C13" s="552"/>
      <c r="D13" s="553"/>
      <c r="E13" s="551" t="s">
        <v>255</v>
      </c>
      <c r="F13" s="552"/>
      <c r="G13" s="552"/>
      <c r="H13" s="554"/>
      <c r="I13" s="369"/>
    </row>
    <row r="14" spans="1:8" ht="13.5" thickBot="1">
      <c r="A14" s="274" t="s">
        <v>37</v>
      </c>
      <c r="B14" s="275" t="s">
        <v>256</v>
      </c>
      <c r="C14" s="276" t="s">
        <v>257</v>
      </c>
      <c r="D14" s="277" t="s">
        <v>258</v>
      </c>
      <c r="E14" s="272" t="s">
        <v>37</v>
      </c>
      <c r="F14" s="278" t="s">
        <v>38</v>
      </c>
      <c r="G14" s="279" t="s">
        <v>257</v>
      </c>
      <c r="H14" s="273" t="s">
        <v>258</v>
      </c>
    </row>
    <row r="15" spans="1:8" ht="13.5" thickBot="1">
      <c r="A15" s="280">
        <v>710</v>
      </c>
      <c r="B15" s="281"/>
      <c r="C15" s="282" t="s">
        <v>9</v>
      </c>
      <c r="D15" s="283">
        <f>D16+D17</f>
        <v>455000</v>
      </c>
      <c r="E15" s="280">
        <v>710</v>
      </c>
      <c r="F15" s="281"/>
      <c r="G15" s="282" t="s">
        <v>9</v>
      </c>
      <c r="H15" s="284">
        <f>H16</f>
        <v>455000</v>
      </c>
    </row>
    <row r="16" spans="1:9" ht="13.5" thickTop="1">
      <c r="A16" s="285"/>
      <c r="B16" s="286" t="s">
        <v>74</v>
      </c>
      <c r="C16" s="287" t="s">
        <v>75</v>
      </c>
      <c r="D16" s="288">
        <v>363000</v>
      </c>
      <c r="E16" s="289"/>
      <c r="F16" s="540">
        <v>71012</v>
      </c>
      <c r="G16" s="542" t="s">
        <v>176</v>
      </c>
      <c r="H16" s="544">
        <v>455000</v>
      </c>
      <c r="I16" s="369"/>
    </row>
    <row r="17" spans="1:9" s="45" customFormat="1" ht="15.75" customHeight="1" thickBot="1">
      <c r="A17" s="431"/>
      <c r="B17" s="432">
        <v>2650</v>
      </c>
      <c r="C17" s="433" t="s">
        <v>259</v>
      </c>
      <c r="D17" s="292">
        <v>92000</v>
      </c>
      <c r="E17" s="289"/>
      <c r="F17" s="541"/>
      <c r="G17" s="543"/>
      <c r="H17" s="545"/>
      <c r="I17" s="379"/>
    </row>
    <row r="18" spans="1:8" ht="13.5" thickBot="1">
      <c r="A18" s="546" t="s">
        <v>15</v>
      </c>
      <c r="B18" s="547"/>
      <c r="C18" s="548"/>
      <c r="D18" s="293">
        <f>D15</f>
        <v>455000</v>
      </c>
      <c r="E18" s="546" t="s">
        <v>15</v>
      </c>
      <c r="F18" s="547"/>
      <c r="G18" s="548"/>
      <c r="H18" s="299">
        <f>H15</f>
        <v>455000</v>
      </c>
    </row>
    <row r="19" spans="1:8" ht="12.75">
      <c r="A19" s="271"/>
      <c r="B19" s="271"/>
      <c r="C19" s="271"/>
      <c r="D19" s="271"/>
      <c r="E19" s="271"/>
      <c r="F19" s="271"/>
      <c r="G19" s="271"/>
      <c r="H19" s="271"/>
    </row>
    <row r="20" spans="1:8" ht="12.75">
      <c r="A20" s="96"/>
      <c r="B20" s="96"/>
      <c r="C20" s="96"/>
      <c r="D20" s="96"/>
      <c r="E20" s="96"/>
      <c r="F20" s="96"/>
      <c r="G20" s="96"/>
      <c r="H20" s="96"/>
    </row>
    <row r="21" spans="1:8" ht="21.75" customHeight="1">
      <c r="A21" s="268" t="s">
        <v>260</v>
      </c>
      <c r="B21" s="268"/>
      <c r="C21" s="268"/>
      <c r="D21" s="96"/>
      <c r="E21" s="96"/>
      <c r="F21" s="96"/>
      <c r="G21" s="96"/>
      <c r="H21" s="96"/>
    </row>
    <row r="22" spans="1:8" ht="12.75">
      <c r="A22" s="270" t="s">
        <v>261</v>
      </c>
      <c r="B22" s="96"/>
      <c r="C22" s="96"/>
      <c r="D22" s="96"/>
      <c r="E22" s="96"/>
      <c r="F22" s="96"/>
      <c r="G22" s="96"/>
      <c r="H22" s="96"/>
    </row>
    <row r="23" spans="1:8" ht="13.5" thickBot="1">
      <c r="A23" s="96"/>
      <c r="B23" s="96"/>
      <c r="C23" s="96"/>
      <c r="D23" s="96"/>
      <c r="E23" s="96"/>
      <c r="F23" s="96"/>
      <c r="G23" s="96"/>
      <c r="H23" s="97" t="s">
        <v>36</v>
      </c>
    </row>
    <row r="24" spans="1:8" ht="13.5" thickBot="1">
      <c r="A24" s="551" t="s">
        <v>254</v>
      </c>
      <c r="B24" s="552"/>
      <c r="C24" s="552"/>
      <c r="D24" s="553"/>
      <c r="E24" s="551" t="s">
        <v>255</v>
      </c>
      <c r="F24" s="552"/>
      <c r="G24" s="552"/>
      <c r="H24" s="553"/>
    </row>
    <row r="25" spans="1:8" ht="13.5" thickBot="1">
      <c r="A25" s="274" t="s">
        <v>37</v>
      </c>
      <c r="B25" s="275" t="s">
        <v>256</v>
      </c>
      <c r="C25" s="294" t="s">
        <v>257</v>
      </c>
      <c r="D25" s="277" t="s">
        <v>258</v>
      </c>
      <c r="E25" s="295" t="s">
        <v>37</v>
      </c>
      <c r="F25" s="275" t="s">
        <v>38</v>
      </c>
      <c r="G25" s="275" t="s">
        <v>257</v>
      </c>
      <c r="H25" s="273" t="s">
        <v>258</v>
      </c>
    </row>
    <row r="26" spans="1:8" ht="13.5" thickBot="1">
      <c r="A26" s="280">
        <v>801</v>
      </c>
      <c r="B26" s="281"/>
      <c r="C26" s="281" t="s">
        <v>94</v>
      </c>
      <c r="D26" s="283">
        <f>D27+D28</f>
        <v>401207</v>
      </c>
      <c r="E26" s="280">
        <v>801</v>
      </c>
      <c r="F26" s="281"/>
      <c r="G26" s="281" t="s">
        <v>94</v>
      </c>
      <c r="H26" s="284">
        <f>H27</f>
        <v>401207</v>
      </c>
    </row>
    <row r="27" spans="1:8" ht="13.5" thickTop="1">
      <c r="A27" s="285"/>
      <c r="B27" s="286" t="s">
        <v>74</v>
      </c>
      <c r="C27" s="287" t="s">
        <v>75</v>
      </c>
      <c r="D27" s="288">
        <v>401207</v>
      </c>
      <c r="E27" s="296"/>
      <c r="F27" s="540">
        <v>80197</v>
      </c>
      <c r="G27" s="555" t="s">
        <v>262</v>
      </c>
      <c r="H27" s="557">
        <v>401207</v>
      </c>
    </row>
    <row r="28" spans="1:8" ht="13.5" thickBot="1">
      <c r="A28" s="290"/>
      <c r="B28" s="291" t="s">
        <v>81</v>
      </c>
      <c r="C28" s="297" t="s">
        <v>77</v>
      </c>
      <c r="D28" s="292">
        <v>0</v>
      </c>
      <c r="E28" s="298"/>
      <c r="F28" s="541"/>
      <c r="G28" s="556"/>
      <c r="H28" s="558"/>
    </row>
    <row r="29" spans="1:8" ht="13.5" thickBot="1">
      <c r="A29" s="546" t="s">
        <v>15</v>
      </c>
      <c r="B29" s="547"/>
      <c r="C29" s="548"/>
      <c r="D29" s="293">
        <f>D26</f>
        <v>401207</v>
      </c>
      <c r="E29" s="546" t="s">
        <v>15</v>
      </c>
      <c r="F29" s="547"/>
      <c r="G29" s="548"/>
      <c r="H29" s="299">
        <f>H26</f>
        <v>401207</v>
      </c>
    </row>
    <row r="30" spans="1:8" ht="12.75">
      <c r="A30" s="271"/>
      <c r="B30" s="271"/>
      <c r="C30" s="271"/>
      <c r="D30" s="300"/>
      <c r="E30" s="271"/>
      <c r="F30" s="271"/>
      <c r="G30" s="271"/>
      <c r="H30" s="300"/>
    </row>
    <row r="31" spans="1:8" ht="12.75">
      <c r="A31" s="96"/>
      <c r="B31" s="96"/>
      <c r="C31" s="96"/>
      <c r="D31" s="96"/>
      <c r="E31" s="96"/>
      <c r="F31" s="96"/>
      <c r="G31" s="96"/>
      <c r="H31" s="96"/>
    </row>
    <row r="32" spans="1:8" ht="12.75">
      <c r="A32" s="268" t="s">
        <v>263</v>
      </c>
      <c r="B32" s="268"/>
      <c r="C32" s="268"/>
      <c r="D32" s="268"/>
      <c r="E32" s="268"/>
      <c r="F32" s="96"/>
      <c r="G32" s="96"/>
      <c r="H32" s="96"/>
    </row>
    <row r="33" spans="1:8" ht="13.5" thickBot="1">
      <c r="A33" s="96"/>
      <c r="B33" s="96"/>
      <c r="C33" s="96"/>
      <c r="D33" s="96"/>
      <c r="E33" s="96"/>
      <c r="F33" s="96"/>
      <c r="G33" s="96"/>
      <c r="H33" s="97" t="s">
        <v>36</v>
      </c>
    </row>
    <row r="34" spans="1:8" ht="13.5" thickBot="1">
      <c r="A34" s="559" t="s">
        <v>264</v>
      </c>
      <c r="B34" s="560"/>
      <c r="C34" s="560"/>
      <c r="D34" s="561"/>
      <c r="E34" s="559" t="s">
        <v>265</v>
      </c>
      <c r="F34" s="560"/>
      <c r="G34" s="560"/>
      <c r="H34" s="561"/>
    </row>
    <row r="35" spans="1:8" ht="13.5" thickBot="1">
      <c r="A35" s="301" t="s">
        <v>37</v>
      </c>
      <c r="B35" s="302" t="s">
        <v>256</v>
      </c>
      <c r="C35" s="302" t="s">
        <v>257</v>
      </c>
      <c r="D35" s="303" t="s">
        <v>258</v>
      </c>
      <c r="E35" s="303" t="s">
        <v>37</v>
      </c>
      <c r="F35" s="302" t="s">
        <v>38</v>
      </c>
      <c r="G35" s="302" t="s">
        <v>257</v>
      </c>
      <c r="H35" s="303" t="s">
        <v>258</v>
      </c>
    </row>
    <row r="36" spans="1:8" ht="14.25" thickBot="1" thickTop="1">
      <c r="A36" s="304">
        <v>852</v>
      </c>
      <c r="B36" s="305"/>
      <c r="C36" s="306" t="s">
        <v>109</v>
      </c>
      <c r="D36" s="307">
        <f>D37</f>
        <v>20000</v>
      </c>
      <c r="E36" s="304">
        <v>852</v>
      </c>
      <c r="F36" s="305"/>
      <c r="G36" s="306" t="s">
        <v>109</v>
      </c>
      <c r="H36" s="371">
        <f>H37</f>
        <v>20000</v>
      </c>
    </row>
    <row r="37" spans="1:9" ht="27" thickBot="1" thickTop="1">
      <c r="A37" s="246"/>
      <c r="B37" s="113" t="s">
        <v>266</v>
      </c>
      <c r="C37" s="308" t="s">
        <v>267</v>
      </c>
      <c r="D37" s="309">
        <v>20000</v>
      </c>
      <c r="E37" s="310"/>
      <c r="F37" s="311">
        <v>85201</v>
      </c>
      <c r="G37" s="312" t="s">
        <v>268</v>
      </c>
      <c r="H37" s="313">
        <v>20000</v>
      </c>
      <c r="I37" s="369"/>
    </row>
    <row r="38" spans="1:9" ht="13.5" thickBot="1">
      <c r="A38" s="546" t="s">
        <v>15</v>
      </c>
      <c r="B38" s="547"/>
      <c r="C38" s="548"/>
      <c r="D38" s="299">
        <f>D36</f>
        <v>20000</v>
      </c>
      <c r="E38" s="546" t="s">
        <v>15</v>
      </c>
      <c r="F38" s="547"/>
      <c r="G38" s="548"/>
      <c r="H38" s="293">
        <f>H36</f>
        <v>20000</v>
      </c>
      <c r="I38" s="369"/>
    </row>
  </sheetData>
  <mergeCells count="21">
    <mergeCell ref="A38:C38"/>
    <mergeCell ref="E38:G38"/>
    <mergeCell ref="A29:C29"/>
    <mergeCell ref="E29:G29"/>
    <mergeCell ref="A34:D34"/>
    <mergeCell ref="E34:H34"/>
    <mergeCell ref="A24:D24"/>
    <mergeCell ref="E24:H24"/>
    <mergeCell ref="F27:F28"/>
    <mergeCell ref="G27:G28"/>
    <mergeCell ref="H27:H28"/>
    <mergeCell ref="A6:H6"/>
    <mergeCell ref="A7:H7"/>
    <mergeCell ref="A8:H8"/>
    <mergeCell ref="A13:D13"/>
    <mergeCell ref="E13:H13"/>
    <mergeCell ref="F16:F17"/>
    <mergeCell ref="G16:G17"/>
    <mergeCell ref="H16:H17"/>
    <mergeCell ref="A18:C18"/>
    <mergeCell ref="E18:G18"/>
  </mergeCells>
  <printOptions horizontalCentered="1"/>
  <pageMargins left="0.7874015748031497" right="0.7874015748031497" top="0.55" bottom="0.7874015748031497" header="1.11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PYRZYCE</dc:creator>
  <cp:keywords/>
  <dc:description/>
  <cp:lastModifiedBy>Starostwo Powiatowe</cp:lastModifiedBy>
  <cp:lastPrinted>2007-12-20T11:51:01Z</cp:lastPrinted>
  <dcterms:created xsi:type="dcterms:W3CDTF">2003-09-30T05:16:40Z</dcterms:created>
  <dcterms:modified xsi:type="dcterms:W3CDTF">2007-12-21T07:31:23Z</dcterms:modified>
  <cp:category/>
  <cp:version/>
  <cp:contentType/>
  <cp:contentStatus/>
</cp:coreProperties>
</file>